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45" windowWidth="14595" windowHeight="12210" tabRatio="899" firstSheet="2" activeTab="5"/>
  </bookViews>
  <sheets>
    <sheet name="основные условия" sheetId="1" r:id="rId1"/>
    <sheet name="конкурсная документация" sheetId="2" r:id="rId2"/>
    <sheet name="конкурсные предложения" sheetId="3" r:id="rId3"/>
    <sheet name="расчет индексация" sheetId="4" r:id="rId4"/>
    <sheet name="расчет RAB" sheetId="5" r:id="rId5"/>
    <sheet name="результат расчета" sheetId="6" r:id="rId6"/>
  </sheets>
  <definedNames>
    <definedName name="_xlnm.Print_Titles" localSheetId="2">'конкурсные предложения'!$A:$A,'конкурсные предложения'!$2:$3</definedName>
    <definedName name="_xlnm.Print_Titles" localSheetId="4">'расчет RAB'!$A:$A,'расчет RAB'!$4:$5</definedName>
    <definedName name="_xlnm.Print_Titles" localSheetId="3">'расчет индексация'!$A:$A,'расчет индексация'!$4:$5</definedName>
    <definedName name="_xlnm.Print_Area" localSheetId="1">'конкурсная документация'!$A$1:$AF$86</definedName>
    <definedName name="_xlnm.Print_Area" localSheetId="2">'конкурсные предложения'!$A$1:$AE$48</definedName>
    <definedName name="_xlnm.Print_Area" localSheetId="4">'расчет RAB'!$A$1:$AF$260</definedName>
    <definedName name="_xlnm.Print_Area" localSheetId="3">'расчет индексация'!$A$1:$AF$225</definedName>
    <definedName name="_xlnm.Print_Area" localSheetId="5">'результат расчета'!$A$1:$AF$38</definedName>
  </definedNames>
  <calcPr fullCalcOnLoad="1"/>
</workbook>
</file>

<file path=xl/sharedStrings.xml><?xml version="1.0" encoding="utf-8"?>
<sst xmlns="http://schemas.openxmlformats.org/spreadsheetml/2006/main" count="712" uniqueCount="258">
  <si>
    <t>Регулируемая база капитала:</t>
  </si>
  <si>
    <t>База капитала новых инвестиций на начало года</t>
  </si>
  <si>
    <t>База капитала новых инвестиций на конец года</t>
  </si>
  <si>
    <t>Чистый оборотный капитал на начало года</t>
  </si>
  <si>
    <t>Доходность на первоначальную базу</t>
  </si>
  <si>
    <t>Доходность на новые инвестиции и ЧОК</t>
  </si>
  <si>
    <t>Доходность на инвестированный капитал, после налога на прибыль</t>
  </si>
  <si>
    <t>Затраты:</t>
  </si>
  <si>
    <t>Операционные расходы (кроме потерь)</t>
  </si>
  <si>
    <t xml:space="preserve">Неподконтрольные </t>
  </si>
  <si>
    <t>Налог на прибыль</t>
  </si>
  <si>
    <t>ИТОГО НВВ</t>
  </si>
  <si>
    <t>Темп прироста НВВ, %</t>
  </si>
  <si>
    <t>Темп прироста тарифа, %</t>
  </si>
  <si>
    <t>Инвестиционная программа за счет тарифа</t>
  </si>
  <si>
    <t>Норма доходности на первоначальную базу, %</t>
  </si>
  <si>
    <t>Норма доходность на новые инвестиции и ЧОК, %</t>
  </si>
  <si>
    <t>ИПЦ, %</t>
  </si>
  <si>
    <t>прочие неподконтрольные</t>
  </si>
  <si>
    <t>расходы на электроэнергию</t>
  </si>
  <si>
    <t>концессионные или арендные платежи</t>
  </si>
  <si>
    <t xml:space="preserve">цена электроэнергии руб/кВт. ч. </t>
  </si>
  <si>
    <t>цена воды, руб/куб.м.</t>
  </si>
  <si>
    <t>% ЧОК от НВВ</t>
  </si>
  <si>
    <t>Тариф, руб за Гкал/ кВт. Ч./ куб. м.</t>
  </si>
  <si>
    <t>Cрок возврата капитала</t>
  </si>
  <si>
    <t>Вводят пользователи</t>
  </si>
  <si>
    <t>Вводит Минэкономразвития</t>
  </si>
  <si>
    <t>Легенда</t>
  </si>
  <si>
    <t>1-ый долгосрочный период</t>
  </si>
  <si>
    <t>2-ый долгосрочный период</t>
  </si>
  <si>
    <t>3-ый долгосрочный период</t>
  </si>
  <si>
    <t>4-ый долгосрочный период</t>
  </si>
  <si>
    <t>5-ый долгосрочный период</t>
  </si>
  <si>
    <t>Расчет тарифа</t>
  </si>
  <si>
    <t>Размер инвестированного капитала до перехода на метод доходности инвестированного капитала (остаточная стоимость) на начало года</t>
  </si>
  <si>
    <t>Эластичность операционных расходов по количеству активов</t>
  </si>
  <si>
    <t>Размер инвестированного капитала до перехода на метод доходности инвестированного капитала (остаточная стоимость) на конец года</t>
  </si>
  <si>
    <t xml:space="preserve">Возврат капитала, инвестированного до перехода на метод доходности инвестированного капитала </t>
  </si>
  <si>
    <t>возрат новых инвестиций</t>
  </si>
  <si>
    <t>Cрок возврата капитала, лет</t>
  </si>
  <si>
    <t>НВВ</t>
  </si>
  <si>
    <t>Норма доходности на новые инвестиции, %</t>
  </si>
  <si>
    <t>Норма доходности на капитал, инвестированный до перехода на метод доходности, %</t>
  </si>
  <si>
    <t>Дисконтированная валовая выручка</t>
  </si>
  <si>
    <t>возмещение инвестиционных расходов организации, не возмещенных за счет возврата капитала на моменту окончания срока действия соглашения</t>
  </si>
  <si>
    <t>Итого Валовая выручка</t>
  </si>
  <si>
    <t>НВВ,  млн. руб.</t>
  </si>
  <si>
    <t>Итого Валовая выручка,  млн. руб.</t>
  </si>
  <si>
    <t>возмещение инвестиционных расходов организации, не возмещенных за счет возврата капитала на моменту окончания срока действия соглашения, млн. руб.</t>
  </si>
  <si>
    <t>Дисконтированная валовая выручка, млн. руб.</t>
  </si>
  <si>
    <t>млн. рублей, если не указано иное</t>
  </si>
  <si>
    <t>Размер инвестированного капитала до перехода на метод доходности инвестированного капитала на начало года</t>
  </si>
  <si>
    <t>Параметры, вводимые в соответствии с конкурсной документацией</t>
  </si>
  <si>
    <t>индекс цен на холодную воду, %</t>
  </si>
  <si>
    <t>индекс цен на электрическую энергию, %</t>
  </si>
  <si>
    <t>индекс цен на тепловую энергию, %</t>
  </si>
  <si>
    <t xml:space="preserve">средневзвещенный по источникам индекс цен на топливо. Расчитывается как отношение плановых  (расчетных) цен на  условное топливо, определенных в соответствии с МУ в тепле на каждый период, к соответствующим плановым (расчетным ценам) предшествующего периода, % </t>
  </si>
  <si>
    <t>концессионная плата или арендная плата</t>
  </si>
  <si>
    <t xml:space="preserve">Норматив чистого оборотного капитала в % от НВВ </t>
  </si>
  <si>
    <t>Долгосрочные параметры</t>
  </si>
  <si>
    <t>Расходы на энергетические ресурсы</t>
  </si>
  <si>
    <t>расходы на топливо</t>
  </si>
  <si>
    <t>Ставка дисконтирования</t>
  </si>
  <si>
    <t>НВВ в 0 год</t>
  </si>
  <si>
    <t>Прочие показатели</t>
  </si>
  <si>
    <t>Метод регулирования (1 - метод RAB, 0 - метод индексации)</t>
  </si>
  <si>
    <t>Параметры, вводимые в соответствии с конкурсным предложением (заявке на участие в конкурсе на заключение договора аренды)</t>
  </si>
  <si>
    <t>Нормативный уровень прибыли, %</t>
  </si>
  <si>
    <t>объекты централизованных систем холодного водоснабжения</t>
  </si>
  <si>
    <t>концессионное соглашение</t>
  </si>
  <si>
    <t>договор аренды</t>
  </si>
  <si>
    <t xml:space="preserve">метод доходности инвестированного капитала </t>
  </si>
  <si>
    <t>метод индексации</t>
  </si>
  <si>
    <t>РАСЧЕТ ДИСКОНТИРОВАННОЙ ВАЛОВОЙ ВЫРУЧКИ</t>
  </si>
  <si>
    <t>объекты закрытых централизованных систем горячего водоснабжения</t>
  </si>
  <si>
    <t>в сфере водоснабжения и водоотведения</t>
  </si>
  <si>
    <t>объекты централизованных систем водоотведения</t>
  </si>
  <si>
    <t>Вид объектов, в отношении которых проводится конкурс:</t>
  </si>
  <si>
    <t>Вид договора:</t>
  </si>
  <si>
    <t>Метод регулирования тарифов:</t>
  </si>
  <si>
    <t>Срок договора, лет:</t>
  </si>
  <si>
    <t>6-ый долгосрочный период</t>
  </si>
  <si>
    <t>7 долгосрочный период</t>
  </si>
  <si>
    <t>Объем полезного отпуска холодной воды, тыс. м3.</t>
  </si>
  <si>
    <t>Объем принятых сточных вод, тыс. м3.</t>
  </si>
  <si>
    <t>Удельный расход электрической энергии, кВ.ч./м3</t>
  </si>
  <si>
    <t>Сточные воды</t>
  </si>
  <si>
    <t>Тепловая энергия в составе горячей воды</t>
  </si>
  <si>
    <t xml:space="preserve">Базовый уровень операционных расходов, млн. р </t>
  </si>
  <si>
    <t>Объем расходов, финансируемых за счет средств концедента, на создание (реконструкцию) объекта концессионного соглашения</t>
  </si>
  <si>
    <t>Объем финансовой поддержки,  предоставляемой арендодателем арендаторув целях возмещения затрат или недополученных доходов в связи с производством, поставками товаров, оказанием услуг</t>
  </si>
  <si>
    <t>Цены на энергетические ресурсы в 0 году</t>
  </si>
  <si>
    <t>Средневзвешенная цена на условное топливо  с учетом затрат на его доставку и хранение,  руб/ТУТ</t>
  </si>
  <si>
    <t>Средневзвешенная стоимость покупки (производства) 1 м 3 холодной воды, руб/м3</t>
  </si>
  <si>
    <t>Потери и потребление энергоресурсов</t>
  </si>
  <si>
    <t>Неподконтрольные расходы</t>
  </si>
  <si>
    <t>ПОКАЗАТЕЛИ (млн руб если не указано иное)</t>
  </si>
  <si>
    <t>7-ый долгосрочный период</t>
  </si>
  <si>
    <t>Количество активов в условных единицах , на начало года (оценка по стоимости основных средств)</t>
  </si>
  <si>
    <t>Статьи затрат, млн. руб.</t>
  </si>
  <si>
    <t>объем потребления электроэнергии, тыс. кВт. Ч.</t>
  </si>
  <si>
    <t>Нормативный уровень прибыли</t>
  </si>
  <si>
    <t>Полезный отпуск, тыс. м3</t>
  </si>
  <si>
    <t>НВВ в ценах первого года концессионного соглашения (договора)</t>
  </si>
  <si>
    <t>удельные расходы на оплату топлива, руб/ТУТ</t>
  </si>
  <si>
    <t>Холодная вода (теплоноситель в составе горячей воды)</t>
  </si>
  <si>
    <t>Средневзвешенная стоимость покупки 1 Гкал, руб/Гкал</t>
  </si>
  <si>
    <t>средневзвешенная стоимость покупки тепловой энергии, руб/Гкал</t>
  </si>
  <si>
    <t xml:space="preserve">расходы на покупку тепловой энергии </t>
  </si>
  <si>
    <t>Средневзвешенная стоимость покупки 1 кВ.ч. электрической энергии, руб/кВт.ч</t>
  </si>
  <si>
    <t>Дисконтированная валовая выручка по всем отраслям</t>
  </si>
  <si>
    <t>Суммарная дисконтированная валовая выручка по вмес отраслям за все периоды</t>
  </si>
  <si>
    <t>Объем отпуска тепловой энергии в составе горячей воды, тыс. Гкал</t>
  </si>
  <si>
    <t>Компонент на тепловую энергию в составе горячей воды</t>
  </si>
  <si>
    <t>Удельные расходы на содержание централизованных систем горячего водоснабжения на участке от центральных тепловых пунктов, на которых осуществляется приготовление горячей воды, до точки на границе эксплуатационной ответственности и расходы связанные с транспортировкой горячей воды, руб/Гкал</t>
  </si>
  <si>
    <t>Расходы на содержание централизованных систем горячего водоснабжения не отнесенные при расчете тарифа на тепловую энергию</t>
  </si>
  <si>
    <t>Операционные расходы</t>
  </si>
  <si>
    <t>Объем финансовой поддержки,  предоставляемой арендодателем арендатору в целях возмещения затрат или недополученных доходов в связи с производством, поставками товаров, оказанием услуг</t>
  </si>
  <si>
    <t>Доходность:</t>
  </si>
  <si>
    <t>Год срока действтия соглашения (договора)</t>
  </si>
  <si>
    <t>Показатель, млн. р.</t>
  </si>
  <si>
    <t>Холодное водоснабжение (теплоноситель в составе горячей воды)</t>
  </si>
  <si>
    <t>Ввод даннных осуществляется на листах "основные условия", "конкурсная документация" и "конкурсные предложения" с помощью элементов управления и ячеек ввода, выделенных голубым цветом. Результаты расчета представлены на листе "результат расчета". Подробности расчета представлены на листах соответствуюшего метода регулирования тарифов: "расчет индексация" и "расчет RAB".</t>
  </si>
  <si>
    <t>Для расчета дисконтированной валовой выручки стоимостные показатели начиная со второго года и для последующих периодов вводятся в ценах 1 года срока действия соглашения (договора).</t>
  </si>
  <si>
    <t>Данные в таблице заполняются вручную</t>
  </si>
  <si>
    <t>Изменение количества условных метров водопроводной сети в году i, %</t>
  </si>
  <si>
    <t>Изменение количества условных метров канализационной сети в году i, %</t>
  </si>
  <si>
    <t>Увеличение операционных расходов в следующем году всвязи с вводом в эксплуатацию нового объекта водоподготовки, % от уровня операционных расходов предыдущего года</t>
  </si>
  <si>
    <t>доля операционных расходов на транспортировку холодной воды за текущий отчетный период</t>
  </si>
  <si>
    <t>Плата за подключение к сетям холодного водоснабжения</t>
  </si>
  <si>
    <t>Плата за подключение к тепловым сетям для осуществления горячего водоснабжения</t>
  </si>
  <si>
    <t>Плата за подключение к канализационым сетям</t>
  </si>
  <si>
    <t>Суммарная дисконтированная валовая выручка по всем отраслям за все периоды</t>
  </si>
  <si>
    <t>проверка (предельный размер средств концессионера на строительство, реконструкцию объекта-плата за подключение &lt;0 - да или нет)</t>
  </si>
  <si>
    <t>Проверка (предельный размер средств концессионера на строительство, реконструкцию объекта-плата за подключение &lt;0: да или нет)</t>
  </si>
  <si>
    <t>Расходы на содержание  централизованных закрытых систем горячего водоснабжения не отнесенные при расчете тарифа на тепловую энергию</t>
  </si>
  <si>
    <t>Амортизация основных средств, существующих на момент передачи в аренду или концессию</t>
  </si>
  <si>
    <t>Инвестиционная программа</t>
  </si>
  <si>
    <t>амортизация инвестиций 1 года</t>
  </si>
  <si>
    <t>амортизация инвестиций 2 года</t>
  </si>
  <si>
    <t>амортизация инвестиций 3 года</t>
  </si>
  <si>
    <t>амортизация инвестиций 4 года</t>
  </si>
  <si>
    <t>амортизация инвестиций 5 года</t>
  </si>
  <si>
    <t>амортизация инвестиций 6 года</t>
  </si>
  <si>
    <t>амортизация инвестиций 7 года</t>
  </si>
  <si>
    <t>амортизация инвестиций 8 года</t>
  </si>
  <si>
    <t>амортизация инвестиций 9 года</t>
  </si>
  <si>
    <t>амортизация инвестиций 10 года</t>
  </si>
  <si>
    <t>Итого, амортизация</t>
  </si>
  <si>
    <t>Срок амортизации основных средств созданных, реконструированных, модернизированных инвестором</t>
  </si>
  <si>
    <t>Итого амортизация</t>
  </si>
  <si>
    <t>доля операционных расходов на транспортировку сточных вод, %</t>
  </si>
  <si>
    <t>доля операционных расходов на транспортировку холодной воды за текущий период, %</t>
  </si>
  <si>
    <t>Суммарная дисконтированная валовая выручка за срок договора</t>
  </si>
  <si>
    <t>ИКА, учитываемый в тарифах следующего года</t>
  </si>
  <si>
    <t xml:space="preserve">Увеличение операционных расходов в следующем году всвязи с вводом в эксплуатацию нового объекта водоподготовки в текущем году, % от уровня операционных расходов предыдущего года </t>
  </si>
  <si>
    <t>доля операционных расходов на транспортировку сточных вод за текущий отчетный период</t>
  </si>
  <si>
    <t>возрат инвестиций совершенных в 1 год</t>
  </si>
  <si>
    <t>возрат инвестиций совершенных в 2 год</t>
  </si>
  <si>
    <t>возрат инвестиций совершенных в 3 год</t>
  </si>
  <si>
    <t>возрат инвестиций совершенных в 4 год</t>
  </si>
  <si>
    <t>возрат инвестиций совершенных в 5 год</t>
  </si>
  <si>
    <t>возрат инвестиций совершенных в 6 год</t>
  </si>
  <si>
    <t>возрат инвестиций совершенных в 7 год</t>
  </si>
  <si>
    <t>возрат инвестиций совершенных в 8 год</t>
  </si>
  <si>
    <t>возрат инвестиций совершенных в 9 год</t>
  </si>
  <si>
    <t>возрат инвестиций совершенных в 10 год</t>
  </si>
  <si>
    <t>Предпринимательская прибыль</t>
  </si>
  <si>
    <t>выплаты по договорам займа и кредитным договорам</t>
  </si>
  <si>
    <t>прочие неподконтрольные расходы в соответствии с Основами, без учета налога на прибыль, концессионной платы, арендной платы, выплат по договорам займа и кредитным договорам экономически обоснованных расходов, понесенных организацией, но не учтенных при установлении тарифов</t>
  </si>
  <si>
    <t>выплаты по договорам займа и кредитным договорам, включая выплату основного долга и процентов, в случае установления тарифов методом индексации</t>
  </si>
  <si>
    <t>амортизация инвестиций 11 года</t>
  </si>
  <si>
    <t>амортизация инвестиций 12 года</t>
  </si>
  <si>
    <t>амортизация инвестиций 13 года</t>
  </si>
  <si>
    <t>амортизация инвестиций 14 года</t>
  </si>
  <si>
    <t>амортизация инвестиций 15 года</t>
  </si>
  <si>
    <t>амортизация инвестиций 16 года</t>
  </si>
  <si>
    <t>амортизация инвестиций 17 года</t>
  </si>
  <si>
    <t>амортизация инвестиций 18 года</t>
  </si>
  <si>
    <t>амортизация инвестиций 19 года</t>
  </si>
  <si>
    <t>амортизация инвестиций 20 года</t>
  </si>
  <si>
    <t>амортизация инвестиций 22 года</t>
  </si>
  <si>
    <t>амортизация инвестиций 23 года</t>
  </si>
  <si>
    <t>амортизация инвестиций 24 года</t>
  </si>
  <si>
    <t>амортизация инвестиций 25 года</t>
  </si>
  <si>
    <t>амортизация инвестиций 26 года</t>
  </si>
  <si>
    <t>амортизация инвестиций 27 года</t>
  </si>
  <si>
    <t>амортизация инвестиций 28 года</t>
  </si>
  <si>
    <t>амортизация инвестиций 29 года</t>
  </si>
  <si>
    <t>амортизация инвестиций 21 года</t>
  </si>
  <si>
    <t>ИПЦ</t>
  </si>
  <si>
    <t>ИПЦ базисный</t>
  </si>
  <si>
    <t>предельный уровень инвестиций ХВС номинал цены</t>
  </si>
  <si>
    <t>Предельный уровень инвестиций кан номинал цены</t>
  </si>
  <si>
    <t>возрат инвестиций совершенных в 11 год</t>
  </si>
  <si>
    <t>возрат инвестиций совершенных в 12 год</t>
  </si>
  <si>
    <t>возрат инвестиций совершенных в 13 год</t>
  </si>
  <si>
    <t>возрат инвестиций совершенных в 14 год</t>
  </si>
  <si>
    <t>возрат инвестиций совершенных в 15 год</t>
  </si>
  <si>
    <t>возрат инвестиций совершенных в 16 год</t>
  </si>
  <si>
    <t>возрат инвестиций совершенных в 17 год</t>
  </si>
  <si>
    <t>возрат инвестиций совершенных в 18 год</t>
  </si>
  <si>
    <t>возрат инвестиций совершенных в 19 год</t>
  </si>
  <si>
    <t>возрат инвестиций совершенных в 20 год</t>
  </si>
  <si>
    <t>возрат инвестиций совершенных в 21 год</t>
  </si>
  <si>
    <t>возрат инвестиций совершенных в 22 год</t>
  </si>
  <si>
    <t>возрат инвестиций совершенных в 23 год</t>
  </si>
  <si>
    <t>возрат инвестиций совершенных в 24 год</t>
  </si>
  <si>
    <t>возрат инвестиций совершенных в 25 год</t>
  </si>
  <si>
    <t>возрат инвестиций совершенных в 26 год</t>
  </si>
  <si>
    <t>возрат инвестиций совершенных в 27 год</t>
  </si>
  <si>
    <t>возрат инвестиций совершенных в 28 год</t>
  </si>
  <si>
    <t>возрат инвестиций совершенных в 29 год</t>
  </si>
  <si>
    <t>Нормативная прибыль</t>
  </si>
  <si>
    <t>Налог на имущество</t>
  </si>
  <si>
    <t>налог на имущество, существуюшее на момент передачи в аренду или концессию</t>
  </si>
  <si>
    <t>Ставка налога на имущество</t>
  </si>
  <si>
    <t>Амортизация основных средств, созданных, реконструированных концессионером, ареднатором</t>
  </si>
  <si>
    <t>Амортизация основных средств, созданных, реконструированных до начала срока действия концессионного соглашения, договора аренды</t>
  </si>
  <si>
    <t>Срок амортизации основных средств созданных, реконструированных, модернизированных концессионером, арендатором</t>
  </si>
  <si>
    <t>Стоимость основных средств,созданных, реконструированных концессионером, арендатором, введенных в эксплуатацию на начало года</t>
  </si>
  <si>
    <t>Уровень потерь холодной воды, %  от объема  воды, поданной в сеть</t>
  </si>
  <si>
    <t>Предельный размер средств концессионера на создание (реконструкцию) объекта концессионного соглашения (объекта, передаваемого в соответствии с договором аренды)</t>
  </si>
  <si>
    <t>Плата концедента</t>
  </si>
  <si>
    <t>Плата концедента, если не предусмотрены расходы концедента на создание, реконструкцию, использование и эксплуатацию объекта концессионного соглашения</t>
  </si>
  <si>
    <t>Объем расходов, финансируемых за счет средств концедента, на создание и (или) реконструкцию объекта концессионного соглашения, если не предусмотрена плата концедента</t>
  </si>
  <si>
    <t>Объем расходов, финансируемых за счет средств концедента, на использование (эксплуатацию) объекта концессионного соглашения, если не предусмотрена плата концедента</t>
  </si>
  <si>
    <t>Расходы, финансируемые концедентом на использование (экплуатацию) объекта концессионного соглашения или объем финансовой поддержки арендатору</t>
  </si>
  <si>
    <t>Расходы, финансируемые концедентом, на создание и (или) реконструкцию объекта концессионного соглашения</t>
  </si>
  <si>
    <t>Суммарная дисконтированная валовая выручка по всем отраслям за срок договора</t>
  </si>
  <si>
    <t>Индекс капитальных вложений, %</t>
  </si>
  <si>
    <t>Базисные индексы (база год, предшествующий 1-му году концессии, аренды)</t>
  </si>
  <si>
    <t>Удельный расход электрической энергии в расчете на единицу поданной в сеть воды,  кВ.ч./м3</t>
  </si>
  <si>
    <t xml:space="preserve">расходы на покупку холодной воды </t>
  </si>
  <si>
    <t>объем покупки холодной воды, тыс. куб. м</t>
  </si>
  <si>
    <t>расходы на покупку холодной воды</t>
  </si>
  <si>
    <t>Удельный расход топлива в расчете тепловую энергию, отпущенную с источников, принадлежащих концессионеру (арендатору), ТУТ/Гкал</t>
  </si>
  <si>
    <t>Уровень потерь тепловой энергии в составе горячей воды, в %  от тепловой энергии, поданной в сеть в составе горячей воды</t>
  </si>
  <si>
    <t>Удельный расход электрической энергии в расчете на 1 Гкал тепловой энергии, поданной в сеть в составе горячей воды, кВ.ч./Гкал</t>
  </si>
  <si>
    <t>Доля покупки воды в составе поданной в сеть воды, %</t>
  </si>
  <si>
    <t>Доля покупки тепловой энергии в составе горячей воды, поданной в сеть , %</t>
  </si>
  <si>
    <t>Удельный расход электрической энергии в расчете на единицу принятых сточных вод, кВ.ч./м3</t>
  </si>
  <si>
    <t>объем потребления топлива, тыс. ТУТ</t>
  </si>
  <si>
    <t>объем покупки тепловой энергии , тыс. Гкал</t>
  </si>
  <si>
    <t>объем покупки тепловой энергии, тыс. Гкал</t>
  </si>
  <si>
    <t>предпринимательская прибыль, %</t>
  </si>
  <si>
    <t>Потери холодной воды, в % от объема воды, поданной в сеть</t>
  </si>
  <si>
    <t>Удельный расход условного топлива на 1 Гкал тепловой энергии, отпущенной с источников концессионера (арендатора) в составе горячей воды, ТУТ/Гкал</t>
  </si>
  <si>
    <t>Удельный расход электрической энергии, на 1 Гкал тепловой энергии, отпущенной с источников концессионера (арендатора) в составе горячей водыкВ.ч./Гкал</t>
  </si>
  <si>
    <t>Потери тепловой энергии в составе горячей воды всего, в % от тепловой энергии в составе горячей воды, поданной в сеть</t>
  </si>
  <si>
    <t>Установленная мощность источников тепловой энергии, Гкал/ч</t>
  </si>
  <si>
    <t>Количество активов, относящихя к деятельности по передаче тепловой энергии, УЕ</t>
  </si>
  <si>
    <t>доля операционных расходов, относящихся к деятельности по передаче тепловой энергии, %</t>
  </si>
  <si>
    <t>ИКА, по передаче тепловой энергии</t>
  </si>
  <si>
    <t>ИКА по производству тепловой энергии</t>
  </si>
  <si>
    <t>ИКА средневзвешенный</t>
  </si>
  <si>
    <t>Прогнозные индексы цен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</si>
</sst>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"/>
    <numFmt numFmtId="176" formatCode="0.0000"/>
    <numFmt numFmtId="177" formatCode="#,##0.000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0.000000"/>
    <numFmt numFmtId="185" formatCode="0.00000"/>
    <numFmt numFmtId="186" formatCode="0.0000000"/>
    <numFmt numFmtId="187" formatCode="0.000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 indent="1"/>
    </xf>
    <xf numFmtId="0" fontId="7" fillId="33" borderId="0" xfId="0" applyFont="1" applyFill="1" applyAlignment="1">
      <alignment vertical="top"/>
    </xf>
    <xf numFmtId="0" fontId="7" fillId="35" borderId="0" xfId="0" applyFont="1" applyFill="1" applyAlignment="1">
      <alignment vertical="top"/>
    </xf>
    <xf numFmtId="0" fontId="7" fillId="36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3" borderId="10" xfId="0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9" fontId="7" fillId="33" borderId="0" xfId="55" applyFont="1" applyFill="1" applyBorder="1" applyAlignment="1" applyProtection="1">
      <alignment vertical="top"/>
      <protection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9" fontId="7" fillId="33" borderId="0" xfId="0" applyNumberFormat="1" applyFont="1" applyFill="1" applyBorder="1" applyAlignment="1">
      <alignment vertical="top"/>
    </xf>
    <xf numFmtId="174" fontId="7" fillId="34" borderId="0" xfId="55" applyNumberFormat="1" applyFont="1" applyFill="1" applyBorder="1" applyAlignment="1" applyProtection="1">
      <alignment vertical="top"/>
      <protection/>
    </xf>
    <xf numFmtId="0" fontId="11" fillId="33" borderId="0" xfId="0" applyFont="1" applyFill="1" applyAlignment="1">
      <alignment horizontal="left" vertical="top" wrapText="1" indent="2"/>
    </xf>
    <xf numFmtId="0" fontId="3" fillId="33" borderId="11" xfId="0" applyFont="1" applyFill="1" applyBorder="1" applyAlignment="1">
      <alignment horizontal="left" vertical="top" wrapText="1" indent="1"/>
    </xf>
    <xf numFmtId="0" fontId="11" fillId="33" borderId="11" xfId="0" applyFont="1" applyFill="1" applyBorder="1" applyAlignment="1">
      <alignment horizontal="left" vertical="top" wrapText="1" indent="2"/>
    </xf>
    <xf numFmtId="0" fontId="7" fillId="38" borderId="12" xfId="0" applyFont="1" applyFill="1" applyBorder="1" applyAlignment="1">
      <alignment horizontal="center" vertical="top"/>
    </xf>
    <xf numFmtId="3" fontId="1" fillId="33" borderId="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3" fontId="9" fillId="33" borderId="0" xfId="0" applyNumberFormat="1" applyFont="1" applyFill="1" applyBorder="1" applyAlignment="1">
      <alignment vertical="top"/>
    </xf>
    <xf numFmtId="0" fontId="7" fillId="39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2" fontId="7" fillId="39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9" fontId="7" fillId="33" borderId="13" xfId="0" applyNumberFormat="1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9" fontId="7" fillId="33" borderId="14" xfId="55" applyFont="1" applyFill="1" applyBorder="1" applyAlignment="1" applyProtection="1">
      <alignment vertical="top"/>
      <protection/>
    </xf>
    <xf numFmtId="9" fontId="7" fillId="33" borderId="14" xfId="0" applyNumberFormat="1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0" xfId="0" applyFont="1" applyFill="1" applyBorder="1" applyAlignment="1">
      <alignment horizontal="left" wrapText="1" indent="1"/>
    </xf>
    <xf numFmtId="0" fontId="0" fillId="33" borderId="0" xfId="0" applyFill="1" applyBorder="1" applyAlignment="1">
      <alignment horizontal="left" vertical="top" wrapText="1" indent="2"/>
    </xf>
    <xf numFmtId="0" fontId="0" fillId="0" borderId="14" xfId="0" applyFill="1" applyBorder="1" applyAlignment="1">
      <alignment vertical="top"/>
    </xf>
    <xf numFmtId="0" fontId="7" fillId="37" borderId="17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3" fontId="0" fillId="0" borderId="0" xfId="0" applyNumberFormat="1" applyAlignment="1">
      <alignment/>
    </xf>
    <xf numFmtId="0" fontId="2" fillId="40" borderId="0" xfId="0" applyFont="1" applyFill="1" applyBorder="1" applyAlignment="1">
      <alignment horizontal="left" vertical="top" indent="1"/>
    </xf>
    <xf numFmtId="0" fontId="7" fillId="40" borderId="0" xfId="0" applyFont="1" applyFill="1" applyBorder="1" applyAlignment="1">
      <alignment vertical="top"/>
    </xf>
    <xf numFmtId="0" fontId="7" fillId="41" borderId="0" xfId="0" applyFont="1" applyFill="1" applyBorder="1" applyAlignment="1">
      <alignment vertical="top"/>
    </xf>
    <xf numFmtId="0" fontId="8" fillId="40" borderId="0" xfId="0" applyFont="1" applyFill="1" applyBorder="1" applyAlignment="1">
      <alignment vertical="top"/>
    </xf>
    <xf numFmtId="0" fontId="0" fillId="40" borderId="0" xfId="0" applyFill="1" applyBorder="1" applyAlignment="1">
      <alignment vertical="top"/>
    </xf>
    <xf numFmtId="0" fontId="0" fillId="40" borderId="14" xfId="0" applyFill="1" applyBorder="1" applyAlignment="1">
      <alignment vertical="top"/>
    </xf>
    <xf numFmtId="0" fontId="0" fillId="40" borderId="0" xfId="0" applyFill="1" applyAlignment="1">
      <alignment vertical="top"/>
    </xf>
    <xf numFmtId="0" fontId="0" fillId="42" borderId="0" xfId="0" applyFill="1" applyAlignment="1">
      <alignment/>
    </xf>
    <xf numFmtId="2" fontId="7" fillId="33" borderId="0" xfId="0" applyNumberFormat="1" applyFont="1" applyFill="1" applyBorder="1" applyAlignment="1">
      <alignment vertical="top"/>
    </xf>
    <xf numFmtId="0" fontId="7" fillId="43" borderId="0" xfId="0" applyFont="1" applyFill="1" applyBorder="1" applyAlignment="1">
      <alignment vertical="top"/>
    </xf>
    <xf numFmtId="1" fontId="0" fillId="39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/>
    </xf>
    <xf numFmtId="0" fontId="3" fillId="33" borderId="12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 horizontal="left" vertical="top" wrapText="1" indent="1"/>
    </xf>
    <xf numFmtId="3" fontId="0" fillId="0" borderId="0" xfId="0" applyNumberFormat="1" applyBorder="1" applyAlignment="1">
      <alignment/>
    </xf>
    <xf numFmtId="0" fontId="3" fillId="33" borderId="20" xfId="0" applyFont="1" applyFill="1" applyBorder="1" applyAlignment="1">
      <alignment horizontal="left" vertical="top" wrapText="1" indent="1"/>
    </xf>
    <xf numFmtId="0" fontId="6" fillId="39" borderId="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0" fontId="7" fillId="44" borderId="17" xfId="0" applyFont="1" applyFill="1" applyBorder="1" applyAlignment="1">
      <alignment vertical="top"/>
    </xf>
    <xf numFmtId="0" fontId="7" fillId="44" borderId="1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3" fontId="9" fillId="43" borderId="0" xfId="0" applyNumberFormat="1" applyFont="1" applyFill="1" applyBorder="1" applyAlignment="1">
      <alignment vertical="top"/>
    </xf>
    <xf numFmtId="3" fontId="9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2" fontId="0" fillId="33" borderId="0" xfId="0" applyNumberForma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7" fillId="37" borderId="21" xfId="0" applyFont="1" applyFill="1" applyBorder="1" applyAlignment="1">
      <alignment vertical="top"/>
    </xf>
    <xf numFmtId="0" fontId="7" fillId="44" borderId="22" xfId="0" applyFont="1" applyFill="1" applyBorder="1" applyAlignment="1">
      <alignment vertical="top"/>
    </xf>
    <xf numFmtId="0" fontId="7" fillId="44" borderId="21" xfId="0" applyFont="1" applyFill="1" applyBorder="1" applyAlignment="1">
      <alignment vertical="top"/>
    </xf>
    <xf numFmtId="0" fontId="7" fillId="37" borderId="22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0" fillId="33" borderId="15" xfId="0" applyFill="1" applyBorder="1" applyAlignment="1">
      <alignment horizontal="left" vertical="top" wrapText="1" indent="1"/>
    </xf>
    <xf numFmtId="0" fontId="3" fillId="42" borderId="20" xfId="0" applyFont="1" applyFill="1" applyBorder="1" applyAlignment="1">
      <alignment horizontal="left" vertical="top" wrapText="1" indent="1"/>
    </xf>
    <xf numFmtId="3" fontId="0" fillId="42" borderId="20" xfId="0" applyNumberFormat="1" applyFill="1" applyBorder="1" applyAlignment="1">
      <alignment/>
    </xf>
    <xf numFmtId="0" fontId="11" fillId="42" borderId="11" xfId="0" applyFont="1" applyFill="1" applyBorder="1" applyAlignment="1">
      <alignment horizontal="left" vertical="top" wrapText="1" indent="2"/>
    </xf>
    <xf numFmtId="3" fontId="0" fillId="42" borderId="11" xfId="0" applyNumberFormat="1" applyFill="1" applyBorder="1" applyAlignment="1">
      <alignment/>
    </xf>
    <xf numFmtId="0" fontId="3" fillId="42" borderId="12" xfId="0" applyFont="1" applyFill="1" applyBorder="1" applyAlignment="1">
      <alignment horizontal="left" vertical="top" wrapText="1" indent="1"/>
    </xf>
    <xf numFmtId="3" fontId="0" fillId="42" borderId="12" xfId="0" applyNumberFormat="1" applyFill="1" applyBorder="1" applyAlignment="1">
      <alignment/>
    </xf>
    <xf numFmtId="0" fontId="3" fillId="42" borderId="11" xfId="0" applyFont="1" applyFill="1" applyBorder="1" applyAlignment="1">
      <alignment horizontal="left" vertical="top" wrapText="1" indent="1"/>
    </xf>
    <xf numFmtId="0" fontId="0" fillId="33" borderId="0" xfId="0" applyFill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3" fillId="42" borderId="0" xfId="0" applyFont="1" applyFill="1" applyBorder="1" applyAlignment="1">
      <alignment horizontal="left" vertical="top" wrapText="1" indent="1"/>
    </xf>
    <xf numFmtId="3" fontId="0" fillId="4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9" fontId="0" fillId="33" borderId="0" xfId="55" applyFill="1" applyBorder="1" applyAlignment="1">
      <alignment vertical="top"/>
    </xf>
    <xf numFmtId="0" fontId="0" fillId="0" borderId="0" xfId="0" applyBorder="1" applyAlignment="1">
      <alignment vertical="top"/>
    </xf>
    <xf numFmtId="3" fontId="7" fillId="43" borderId="0" xfId="0" applyNumberFormat="1" applyFont="1" applyFill="1" applyBorder="1" applyAlignment="1">
      <alignment vertical="top"/>
    </xf>
    <xf numFmtId="0" fontId="15" fillId="40" borderId="0" xfId="0" applyFont="1" applyFill="1" applyBorder="1" applyAlignment="1">
      <alignment horizontal="left" vertical="top" indent="1"/>
    </xf>
    <xf numFmtId="0" fontId="15" fillId="33" borderId="0" xfId="0" applyFont="1" applyFill="1" applyAlignment="1">
      <alignment/>
    </xf>
    <xf numFmtId="2" fontId="9" fillId="45" borderId="0" xfId="0" applyNumberFormat="1" applyFont="1" applyFill="1" applyBorder="1" applyAlignment="1">
      <alignment vertical="top"/>
    </xf>
    <xf numFmtId="2" fontId="1" fillId="33" borderId="0" xfId="0" applyNumberFormat="1" applyFont="1" applyFill="1" applyBorder="1" applyAlignment="1">
      <alignment vertical="top"/>
    </xf>
    <xf numFmtId="2" fontId="0" fillId="33" borderId="0" xfId="0" applyNumberFormat="1" applyFill="1" applyBorder="1" applyAlignment="1">
      <alignment/>
    </xf>
    <xf numFmtId="2" fontId="9" fillId="33" borderId="0" xfId="0" applyNumberFormat="1" applyFont="1" applyFill="1" applyBorder="1" applyAlignment="1">
      <alignment vertical="top"/>
    </xf>
    <xf numFmtId="2" fontId="9" fillId="39" borderId="0" xfId="0" applyNumberFormat="1" applyFont="1" applyFill="1" applyBorder="1" applyAlignment="1">
      <alignment vertical="top"/>
    </xf>
    <xf numFmtId="2" fontId="7" fillId="44" borderId="0" xfId="0" applyNumberFormat="1" applyFont="1" applyFill="1" applyBorder="1" applyAlignment="1">
      <alignment vertical="top"/>
    </xf>
    <xf numFmtId="2" fontId="7" fillId="40" borderId="0" xfId="0" applyNumberFormat="1" applyFont="1" applyFill="1" applyBorder="1" applyAlignment="1">
      <alignment vertical="top"/>
    </xf>
    <xf numFmtId="2" fontId="7" fillId="41" borderId="0" xfId="0" applyNumberFormat="1" applyFont="1" applyFill="1" applyBorder="1" applyAlignment="1">
      <alignment vertical="top"/>
    </xf>
    <xf numFmtId="2" fontId="8" fillId="40" borderId="0" xfId="0" applyNumberFormat="1" applyFont="1" applyFill="1" applyBorder="1" applyAlignment="1">
      <alignment vertical="top"/>
    </xf>
    <xf numFmtId="2" fontId="0" fillId="40" borderId="0" xfId="0" applyNumberFormat="1" applyFill="1" applyBorder="1" applyAlignment="1">
      <alignment vertical="top"/>
    </xf>
    <xf numFmtId="2" fontId="7" fillId="33" borderId="0" xfId="0" applyNumberFormat="1" applyFont="1" applyFill="1" applyBorder="1" applyAlignment="1">
      <alignment horizontal="center" vertical="center"/>
    </xf>
    <xf numFmtId="2" fontId="7" fillId="45" borderId="0" xfId="0" applyNumberFormat="1" applyFont="1" applyFill="1" applyBorder="1" applyAlignment="1">
      <alignment vertical="top"/>
    </xf>
    <xf numFmtId="2" fontId="7" fillId="33" borderId="0" xfId="55" applyNumberFormat="1" applyFont="1" applyFill="1" applyBorder="1" applyAlignment="1">
      <alignment vertical="top"/>
    </xf>
    <xf numFmtId="2" fontId="7" fillId="43" borderId="0" xfId="0" applyNumberFormat="1" applyFont="1" applyFill="1" applyBorder="1" applyAlignment="1">
      <alignment vertical="top"/>
    </xf>
    <xf numFmtId="2" fontId="10" fillId="43" borderId="0" xfId="0" applyNumberFormat="1" applyFont="1" applyFill="1" applyBorder="1" applyAlignment="1">
      <alignment vertical="top"/>
    </xf>
    <xf numFmtId="2" fontId="10" fillId="33" borderId="0" xfId="0" applyNumberFormat="1" applyFont="1" applyFill="1" applyBorder="1" applyAlignment="1">
      <alignment vertical="top"/>
    </xf>
    <xf numFmtId="10" fontId="0" fillId="33" borderId="0" xfId="55" applyNumberFormat="1" applyFill="1" applyBorder="1" applyAlignment="1">
      <alignment vertical="top"/>
    </xf>
    <xf numFmtId="10" fontId="0" fillId="43" borderId="0" xfId="55" applyNumberFormat="1" applyFill="1" applyBorder="1" applyAlignment="1">
      <alignment vertical="top"/>
    </xf>
    <xf numFmtId="10" fontId="0" fillId="33" borderId="0" xfId="55" applyNumberFormat="1" applyFill="1" applyBorder="1" applyAlignment="1">
      <alignment/>
    </xf>
    <xf numFmtId="2" fontId="8" fillId="34" borderId="0" xfId="0" applyNumberFormat="1" applyFont="1" applyFill="1" applyBorder="1" applyAlignment="1">
      <alignment vertical="top"/>
    </xf>
    <xf numFmtId="10" fontId="0" fillId="33" borderId="0" xfId="55" applyNumberFormat="1" applyFill="1" applyBorder="1" applyAlignment="1" applyProtection="1">
      <alignment vertical="top"/>
      <protection/>
    </xf>
    <xf numFmtId="4" fontId="7" fillId="41" borderId="0" xfId="0" applyNumberFormat="1" applyFont="1" applyFill="1" applyBorder="1" applyAlignment="1">
      <alignment vertical="top"/>
    </xf>
    <xf numFmtId="4" fontId="7" fillId="40" borderId="0" xfId="0" applyNumberFormat="1" applyFont="1" applyFill="1" applyBorder="1" applyAlignment="1">
      <alignment vertical="top"/>
    </xf>
    <xf numFmtId="4" fontId="8" fillId="40" borderId="0" xfId="0" applyNumberFormat="1" applyFont="1" applyFill="1" applyBorder="1" applyAlignment="1">
      <alignment vertical="top"/>
    </xf>
    <xf numFmtId="4" fontId="0" fillId="40" borderId="0" xfId="0" applyNumberFormat="1" applyFill="1" applyBorder="1" applyAlignment="1">
      <alignment vertical="top"/>
    </xf>
    <xf numFmtId="4" fontId="8" fillId="34" borderId="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vertical="top"/>
    </xf>
    <xf numFmtId="4" fontId="7" fillId="34" borderId="0" xfId="55" applyNumberFormat="1" applyFont="1" applyFill="1" applyBorder="1" applyAlignment="1" applyProtection="1">
      <alignment vertical="top"/>
      <protection/>
    </xf>
    <xf numFmtId="4" fontId="7" fillId="34" borderId="0" xfId="0" applyNumberFormat="1" applyFont="1" applyFill="1" applyBorder="1" applyAlignment="1">
      <alignment vertical="top"/>
    </xf>
    <xf numFmtId="4" fontId="0" fillId="34" borderId="0" xfId="0" applyNumberFormat="1" applyFill="1" applyBorder="1" applyAlignment="1">
      <alignment vertical="top"/>
    </xf>
    <xf numFmtId="4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9" borderId="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7" fillId="46" borderId="0" xfId="0" applyFont="1" applyFill="1" applyBorder="1" applyAlignment="1">
      <alignment vertical="top"/>
    </xf>
    <xf numFmtId="0" fontId="7" fillId="47" borderId="0" xfId="0" applyFont="1" applyFill="1" applyBorder="1" applyAlignment="1">
      <alignment vertical="top"/>
    </xf>
    <xf numFmtId="0" fontId="8" fillId="46" borderId="0" xfId="0" applyFont="1" applyFill="1" applyBorder="1" applyAlignment="1">
      <alignment vertical="top"/>
    </xf>
    <xf numFmtId="0" fontId="0" fillId="46" borderId="0" xfId="0" applyFill="1" applyBorder="1" applyAlignment="1">
      <alignment vertical="top"/>
    </xf>
    <xf numFmtId="187" fontId="0" fillId="0" borderId="0" xfId="55" applyNumberFormat="1" applyAlignment="1">
      <alignment/>
    </xf>
    <xf numFmtId="10" fontId="0" fillId="48" borderId="0" xfId="55" applyNumberFormat="1" applyFill="1" applyBorder="1" applyAlignment="1">
      <alignment vertical="top"/>
    </xf>
    <xf numFmtId="0" fontId="47" fillId="49" borderId="11" xfId="0" applyFont="1" applyFill="1" applyBorder="1" applyAlignment="1">
      <alignment horizontal="left" wrapText="1" indent="2"/>
    </xf>
    <xf numFmtId="4" fontId="45" fillId="49" borderId="20" xfId="0" applyNumberFormat="1" applyFont="1" applyFill="1" applyBorder="1" applyAlignment="1">
      <alignment/>
    </xf>
    <xf numFmtId="0" fontId="45" fillId="49" borderId="0" xfId="0" applyFont="1" applyFill="1" applyAlignment="1">
      <alignment/>
    </xf>
    <xf numFmtId="4" fontId="9" fillId="33" borderId="11" xfId="0" applyNumberFormat="1" applyFont="1" applyFill="1" applyBorder="1" applyAlignment="1">
      <alignment vertical="top"/>
    </xf>
    <xf numFmtId="3" fontId="9" fillId="50" borderId="0" xfId="0" applyNumberFormat="1" applyFont="1" applyFill="1" applyBorder="1" applyAlignment="1">
      <alignment vertical="top"/>
    </xf>
    <xf numFmtId="0" fontId="0" fillId="48" borderId="0" xfId="0" applyFill="1" applyBorder="1" applyAlignment="1">
      <alignment horizontal="left" vertical="top" wrapText="1" indent="1"/>
    </xf>
    <xf numFmtId="0" fontId="4" fillId="48" borderId="11" xfId="0" applyFont="1" applyFill="1" applyBorder="1" applyAlignment="1">
      <alignment horizontal="left" wrapText="1" indent="2"/>
    </xf>
    <xf numFmtId="4" fontId="0" fillId="48" borderId="20" xfId="0" applyNumberFormat="1" applyFill="1" applyBorder="1" applyAlignment="1">
      <alignment/>
    </xf>
    <xf numFmtId="0" fontId="0" fillId="48" borderId="0" xfId="0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Border="1" applyAlignment="1">
      <alignment vertical="top"/>
    </xf>
    <xf numFmtId="43" fontId="1" fillId="48" borderId="0" xfId="58" applyFill="1" applyBorder="1" applyAlignment="1">
      <alignment vertical="top"/>
    </xf>
    <xf numFmtId="3" fontId="45" fillId="42" borderId="11" xfId="0" applyNumberFormat="1" applyFont="1" applyFill="1" applyBorder="1" applyAlignment="1">
      <alignment/>
    </xf>
    <xf numFmtId="9" fontId="0" fillId="48" borderId="11" xfId="55" applyFill="1" applyBorder="1" applyAlignment="1">
      <alignment vertical="top"/>
    </xf>
    <xf numFmtId="2" fontId="9" fillId="48" borderId="11" xfId="0" applyNumberFormat="1" applyFont="1" applyFill="1" applyBorder="1" applyAlignment="1">
      <alignment vertical="top"/>
    </xf>
    <xf numFmtId="2" fontId="9" fillId="50" borderId="11" xfId="0" applyNumberFormat="1" applyFont="1" applyFill="1" applyBorder="1" applyAlignment="1">
      <alignment vertical="top"/>
    </xf>
    <xf numFmtId="0" fontId="7" fillId="48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 vertical="top" wrapText="1"/>
    </xf>
    <xf numFmtId="0" fontId="0" fillId="46" borderId="15" xfId="0" applyFill="1" applyBorder="1" applyAlignment="1">
      <alignment horizontal="left" vertical="top" wrapText="1"/>
    </xf>
    <xf numFmtId="0" fontId="7" fillId="46" borderId="15" xfId="0" applyFont="1" applyFill="1" applyBorder="1" applyAlignment="1">
      <alignment vertical="top"/>
    </xf>
    <xf numFmtId="0" fontId="7" fillId="47" borderId="15" xfId="0" applyFont="1" applyFill="1" applyBorder="1" applyAlignment="1">
      <alignment vertical="top"/>
    </xf>
    <xf numFmtId="0" fontId="0" fillId="48" borderId="15" xfId="0" applyFill="1" applyBorder="1" applyAlignment="1">
      <alignment horizontal="left" vertical="top" wrapText="1" indent="1"/>
    </xf>
    <xf numFmtId="9" fontId="0" fillId="48" borderId="15" xfId="55" applyFill="1" applyBorder="1" applyAlignment="1">
      <alignment vertical="top"/>
    </xf>
    <xf numFmtId="0" fontId="0" fillId="48" borderId="15" xfId="0" applyFont="1" applyFill="1" applyBorder="1" applyAlignment="1">
      <alignment horizontal="left" vertical="top" wrapText="1" indent="1"/>
    </xf>
    <xf numFmtId="0" fontId="0" fillId="33" borderId="15" xfId="0" applyFill="1" applyBorder="1" applyAlignment="1">
      <alignment horizontal="left" wrapText="1" indent="1"/>
    </xf>
    <xf numFmtId="2" fontId="7" fillId="33" borderId="15" xfId="0" applyNumberFormat="1" applyFont="1" applyFill="1" applyBorder="1" applyAlignment="1">
      <alignment vertical="top"/>
    </xf>
    <xf numFmtId="1" fontId="9" fillId="43" borderId="15" xfId="0" applyNumberFormat="1" applyFont="1" applyFill="1" applyBorder="1" applyAlignment="1">
      <alignment vertical="top"/>
    </xf>
    <xf numFmtId="2" fontId="0" fillId="33" borderId="15" xfId="0" applyNumberFormat="1" applyFill="1" applyBorder="1" applyAlignment="1">
      <alignment vertical="top"/>
    </xf>
    <xf numFmtId="2" fontId="9" fillId="48" borderId="15" xfId="0" applyNumberFormat="1" applyFont="1" applyFill="1" applyBorder="1" applyAlignment="1">
      <alignment vertical="top"/>
    </xf>
    <xf numFmtId="2" fontId="9" fillId="50" borderId="15" xfId="0" applyNumberFormat="1" applyFont="1" applyFill="1" applyBorder="1" applyAlignment="1">
      <alignment vertical="top"/>
    </xf>
    <xf numFmtId="3" fontId="9" fillId="33" borderId="15" xfId="0" applyNumberFormat="1" applyFont="1" applyFill="1" applyBorder="1" applyAlignment="1">
      <alignment vertical="top"/>
    </xf>
    <xf numFmtId="3" fontId="9" fillId="43" borderId="15" xfId="0" applyNumberFormat="1" applyFont="1" applyFill="1" applyBorder="1" applyAlignment="1">
      <alignment vertical="top"/>
    </xf>
    <xf numFmtId="172" fontId="7" fillId="33" borderId="15" xfId="0" applyNumberFormat="1" applyFont="1" applyFill="1" applyBorder="1" applyAlignment="1">
      <alignment vertical="top"/>
    </xf>
    <xf numFmtId="4" fontId="9" fillId="43" borderId="15" xfId="0" applyNumberFormat="1" applyFont="1" applyFill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 indent="4"/>
    </xf>
    <xf numFmtId="0" fontId="0" fillId="33" borderId="15" xfId="0" applyFill="1" applyBorder="1" applyAlignment="1">
      <alignment horizontal="left" vertical="top" indent="2"/>
    </xf>
    <xf numFmtId="4" fontId="7" fillId="33" borderId="15" xfId="0" applyNumberFormat="1" applyFont="1" applyFill="1" applyBorder="1" applyAlignment="1">
      <alignment vertical="top"/>
    </xf>
    <xf numFmtId="4" fontId="0" fillId="33" borderId="15" xfId="0" applyNumberFormat="1" applyFill="1" applyBorder="1" applyAlignment="1">
      <alignment vertical="top"/>
    </xf>
    <xf numFmtId="0" fontId="0" fillId="33" borderId="15" xfId="0" applyFill="1" applyBorder="1" applyAlignment="1">
      <alignment vertical="top"/>
    </xf>
    <xf numFmtId="10" fontId="0" fillId="43" borderId="15" xfId="55" applyNumberFormat="1" applyFill="1" applyBorder="1" applyAlignment="1">
      <alignment vertical="top"/>
    </xf>
    <xf numFmtId="10" fontId="0" fillId="33" borderId="15" xfId="55" applyNumberFormat="1" applyFill="1" applyBorder="1" applyAlignment="1">
      <alignment vertical="top"/>
    </xf>
    <xf numFmtId="174" fontId="7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left" vertical="top" wrapText="1" indent="1"/>
    </xf>
    <xf numFmtId="9" fontId="7" fillId="33" borderId="15" xfId="0" applyNumberFormat="1" applyFont="1" applyFill="1" applyBorder="1" applyAlignment="1">
      <alignment vertical="top"/>
    </xf>
    <xf numFmtId="4" fontId="9" fillId="50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 indent="3"/>
    </xf>
    <xf numFmtId="9" fontId="7" fillId="33" borderId="15" xfId="55" applyFont="1" applyFill="1" applyBorder="1" applyAlignment="1" applyProtection="1">
      <alignment vertical="top"/>
      <protection/>
    </xf>
    <xf numFmtId="175" fontId="7" fillId="33" borderId="15" xfId="55" applyNumberFormat="1" applyFont="1" applyFill="1" applyBorder="1" applyAlignment="1" applyProtection="1">
      <alignment vertical="top"/>
      <protection/>
    </xf>
    <xf numFmtId="10" fontId="0" fillId="33" borderId="15" xfId="55" applyNumberFormat="1" applyFill="1" applyBorder="1" applyAlignment="1" applyProtection="1">
      <alignment vertical="top"/>
      <protection/>
    </xf>
    <xf numFmtId="175" fontId="7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left" vertical="top" wrapText="1" indent="1"/>
    </xf>
    <xf numFmtId="1" fontId="7" fillId="33" borderId="15" xfId="55" applyNumberFormat="1" applyFont="1" applyFill="1" applyBorder="1" applyAlignment="1" applyProtection="1">
      <alignment vertical="top"/>
      <protection/>
    </xf>
    <xf numFmtId="4" fontId="7" fillId="33" borderId="15" xfId="55" applyNumberFormat="1" applyFont="1" applyFill="1" applyBorder="1" applyAlignment="1" applyProtection="1">
      <alignment vertical="top"/>
      <protection/>
    </xf>
    <xf numFmtId="0" fontId="0" fillId="33" borderId="15" xfId="0" applyFill="1" applyBorder="1" applyAlignment="1">
      <alignment horizontal="left" vertical="top" wrapText="1" indent="3"/>
    </xf>
    <xf numFmtId="3" fontId="1" fillId="33" borderId="15" xfId="0" applyNumberFormat="1" applyFont="1" applyFill="1" applyBorder="1" applyAlignment="1">
      <alignment vertical="top"/>
    </xf>
    <xf numFmtId="0" fontId="4" fillId="48" borderId="15" xfId="0" applyFont="1" applyFill="1" applyBorder="1" applyAlignment="1">
      <alignment horizontal="left" vertical="top" wrapText="1" indent="5"/>
    </xf>
    <xf numFmtId="3" fontId="9" fillId="48" borderId="15" xfId="0" applyNumberFormat="1" applyFont="1" applyFill="1" applyBorder="1" applyAlignment="1">
      <alignment vertical="top"/>
    </xf>
    <xf numFmtId="0" fontId="0" fillId="48" borderId="15" xfId="0" applyFill="1" applyBorder="1" applyAlignment="1">
      <alignment horizontal="left" vertical="top" wrapText="1" indent="3"/>
    </xf>
    <xf numFmtId="4" fontId="9" fillId="33" borderId="15" xfId="0" applyNumberFormat="1" applyFont="1" applyFill="1" applyBorder="1" applyAlignment="1">
      <alignment vertical="top"/>
    </xf>
    <xf numFmtId="4" fontId="9" fillId="48" borderId="15" xfId="0" applyNumberFormat="1" applyFont="1" applyFill="1" applyBorder="1" applyAlignment="1">
      <alignment vertical="top"/>
    </xf>
    <xf numFmtId="43" fontId="1" fillId="48" borderId="15" xfId="58" applyFont="1" applyFill="1" applyBorder="1" applyAlignment="1">
      <alignment horizontal="left" vertical="top" wrapText="1" indent="3"/>
    </xf>
    <xf numFmtId="43" fontId="1" fillId="48" borderId="15" xfId="58" applyFill="1" applyBorder="1" applyAlignment="1">
      <alignment vertical="top"/>
    </xf>
    <xf numFmtId="4" fontId="1" fillId="48" borderId="15" xfId="0" applyNumberFormat="1" applyFont="1" applyFill="1" applyBorder="1" applyAlignment="1">
      <alignment vertical="top"/>
    </xf>
    <xf numFmtId="173" fontId="9" fillId="43" borderId="15" xfId="0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 wrapText="1" indent="1"/>
    </xf>
    <xf numFmtId="0" fontId="11" fillId="33" borderId="15" xfId="0" applyFont="1" applyFill="1" applyBorder="1" applyAlignment="1">
      <alignment horizontal="left" vertical="top" wrapText="1" indent="2"/>
    </xf>
    <xf numFmtId="0" fontId="11" fillId="48" borderId="15" xfId="0" applyFont="1" applyFill="1" applyBorder="1" applyAlignment="1">
      <alignment horizontal="left" vertical="top" wrapText="1" indent="2"/>
    </xf>
    <xf numFmtId="0" fontId="4" fillId="48" borderId="15" xfId="0" applyFont="1" applyFill="1" applyBorder="1" applyAlignment="1">
      <alignment horizontal="left" wrapText="1" indent="2"/>
    </xf>
    <xf numFmtId="0" fontId="0" fillId="48" borderId="15" xfId="0" applyFill="1" applyBorder="1" applyAlignment="1">
      <alignment wrapText="1"/>
    </xf>
    <xf numFmtId="0" fontId="7" fillId="48" borderId="15" xfId="0" applyFont="1" applyFill="1" applyBorder="1" applyAlignment="1">
      <alignment vertical="top"/>
    </xf>
    <xf numFmtId="4" fontId="7" fillId="51" borderId="15" xfId="0" applyNumberFormat="1" applyFont="1" applyFill="1" applyBorder="1" applyAlignment="1">
      <alignment vertical="top"/>
    </xf>
    <xf numFmtId="10" fontId="0" fillId="48" borderId="15" xfId="55" applyNumberForma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 indent="5"/>
    </xf>
    <xf numFmtId="0" fontId="12" fillId="33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9" fontId="7" fillId="48" borderId="15" xfId="55" applyFont="1" applyFill="1" applyBorder="1" applyAlignment="1" applyProtection="1">
      <alignment vertical="top"/>
      <protection/>
    </xf>
    <xf numFmtId="10" fontId="0" fillId="50" borderId="15" xfId="55" applyNumberFormat="1" applyFill="1" applyBorder="1" applyAlignment="1">
      <alignment vertical="top"/>
    </xf>
    <xf numFmtId="3" fontId="1" fillId="48" borderId="15" xfId="0" applyNumberFormat="1" applyFont="1" applyFill="1" applyBorder="1" applyAlignment="1">
      <alignment vertical="top"/>
    </xf>
    <xf numFmtId="3" fontId="9" fillId="50" borderId="15" xfId="0" applyNumberFormat="1" applyFont="1" applyFill="1" applyBorder="1" applyAlignment="1">
      <alignment vertical="top"/>
    </xf>
    <xf numFmtId="2" fontId="1" fillId="33" borderId="15" xfId="0" applyNumberFormat="1" applyFont="1" applyFill="1" applyBorder="1" applyAlignment="1">
      <alignment vertical="top"/>
    </xf>
    <xf numFmtId="2" fontId="9" fillId="43" borderId="15" xfId="0" applyNumberFormat="1" applyFont="1" applyFill="1" applyBorder="1" applyAlignment="1">
      <alignment vertical="top"/>
    </xf>
    <xf numFmtId="10" fontId="7" fillId="33" borderId="15" xfId="55" applyNumberFormat="1" applyFont="1" applyFill="1" applyBorder="1" applyAlignment="1" applyProtection="1">
      <alignment vertical="top"/>
      <protection/>
    </xf>
    <xf numFmtId="2" fontId="9" fillId="33" borderId="15" xfId="0" applyNumberFormat="1" applyFont="1" applyFill="1" applyBorder="1" applyAlignment="1">
      <alignment vertical="top"/>
    </xf>
    <xf numFmtId="2" fontId="7" fillId="48" borderId="15" xfId="0" applyNumberFormat="1" applyFont="1" applyFill="1" applyBorder="1" applyAlignment="1">
      <alignment vertical="top"/>
    </xf>
    <xf numFmtId="4" fontId="7" fillId="48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indent="2"/>
    </xf>
    <xf numFmtId="0" fontId="4" fillId="48" borderId="15" xfId="0" applyFont="1" applyFill="1" applyBorder="1" applyAlignment="1">
      <alignment horizontal="left" vertical="top" wrapText="1" indent="3"/>
    </xf>
    <xf numFmtId="0" fontId="11" fillId="48" borderId="15" xfId="0" applyFont="1" applyFill="1" applyBorder="1" applyAlignment="1">
      <alignment horizontal="left" vertical="top" wrapText="1" indent="3"/>
    </xf>
    <xf numFmtId="2" fontId="7" fillId="39" borderId="11" xfId="0" applyNumberFormat="1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/>
    </xf>
    <xf numFmtId="0" fontId="3" fillId="33" borderId="15" xfId="0" applyFont="1" applyFill="1" applyBorder="1" applyAlignment="1">
      <alignment horizontal="left" vertical="top" wrapText="1"/>
    </xf>
    <xf numFmtId="2" fontId="8" fillId="33" borderId="15" xfId="0" applyNumberFormat="1" applyFont="1" applyFill="1" applyBorder="1" applyAlignment="1">
      <alignment vertical="top"/>
    </xf>
    <xf numFmtId="2" fontId="6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left" wrapText="1" indent="1"/>
    </xf>
    <xf numFmtId="0" fontId="0" fillId="33" borderId="15" xfId="0" applyFont="1" applyFill="1" applyBorder="1" applyAlignment="1">
      <alignment horizontal="left" wrapText="1" indent="1"/>
    </xf>
    <xf numFmtId="0" fontId="0" fillId="33" borderId="18" xfId="0" applyFill="1" applyBorder="1" applyAlignment="1">
      <alignment horizontal="left" vertical="top" indent="1"/>
    </xf>
    <xf numFmtId="0" fontId="0" fillId="33" borderId="15" xfId="0" applyFill="1" applyBorder="1" applyAlignment="1">
      <alignment horizontal="left" vertical="top" indent="1"/>
    </xf>
    <xf numFmtId="0" fontId="0" fillId="0" borderId="15" xfId="0" applyFill="1" applyBorder="1" applyAlignment="1">
      <alignment vertical="top"/>
    </xf>
    <xf numFmtId="10" fontId="0" fillId="45" borderId="11" xfId="55" applyNumberFormat="1" applyFill="1" applyBorder="1" applyAlignment="1">
      <alignment vertical="top"/>
    </xf>
    <xf numFmtId="2" fontId="0" fillId="39" borderId="11" xfId="0" applyNumberFormat="1" applyFill="1" applyBorder="1" applyAlignment="1">
      <alignment/>
    </xf>
    <xf numFmtId="2" fontId="0" fillId="39" borderId="11" xfId="0" applyNumberFormat="1" applyFill="1" applyBorder="1" applyAlignment="1">
      <alignment vertical="top"/>
    </xf>
    <xf numFmtId="10" fontId="0" fillId="45" borderId="12" xfId="55" applyNumberFormat="1" applyFill="1" applyBorder="1" applyAlignment="1">
      <alignment vertical="top"/>
    </xf>
    <xf numFmtId="10" fontId="0" fillId="39" borderId="11" xfId="55" applyNumberFormat="1" applyFill="1" applyBorder="1" applyAlignment="1">
      <alignment vertical="top"/>
    </xf>
    <xf numFmtId="10" fontId="0" fillId="48" borderId="11" xfId="55" applyNumberFormat="1" applyFill="1" applyBorder="1" applyAlignment="1">
      <alignment vertical="top"/>
    </xf>
    <xf numFmtId="174" fontId="0" fillId="50" borderId="11" xfId="55" applyNumberFormat="1" applyFill="1" applyBorder="1" applyAlignment="1">
      <alignment vertical="top"/>
    </xf>
    <xf numFmtId="2" fontId="9" fillId="39" borderId="11" xfId="0" applyNumberFormat="1" applyFont="1" applyFill="1" applyBorder="1" applyAlignment="1">
      <alignment vertical="top"/>
    </xf>
    <xf numFmtId="2" fontId="9" fillId="45" borderId="11" xfId="0" applyNumberFormat="1" applyFont="1" applyFill="1" applyBorder="1" applyAlignment="1">
      <alignment vertical="top"/>
    </xf>
    <xf numFmtId="2" fontId="1" fillId="39" borderId="11" xfId="0" applyNumberFormat="1" applyFont="1" applyFill="1" applyBorder="1" applyAlignment="1">
      <alignment vertical="top"/>
    </xf>
    <xf numFmtId="2" fontId="7" fillId="50" borderId="11" xfId="0" applyNumberFormat="1" applyFont="1" applyFill="1" applyBorder="1" applyAlignment="1">
      <alignment vertical="top"/>
    </xf>
    <xf numFmtId="10" fontId="0" fillId="50" borderId="11" xfId="55" applyNumberFormat="1" applyFill="1" applyBorder="1" applyAlignment="1">
      <alignment vertical="top"/>
    </xf>
    <xf numFmtId="10" fontId="0" fillId="39" borderId="11" xfId="55" applyNumberFormat="1" applyFill="1" applyBorder="1" applyAlignment="1">
      <alignment/>
    </xf>
    <xf numFmtId="2" fontId="7" fillId="39" borderId="11" xfId="0" applyNumberFormat="1" applyFont="1" applyFill="1" applyBorder="1" applyAlignment="1">
      <alignment vertical="top"/>
    </xf>
    <xf numFmtId="10" fontId="0" fillId="45" borderId="20" xfId="55" applyNumberFormat="1" applyFill="1" applyBorder="1" applyAlignment="1">
      <alignment vertical="top"/>
    </xf>
    <xf numFmtId="2" fontId="7" fillId="45" borderId="11" xfId="0" applyNumberFormat="1" applyFont="1" applyFill="1" applyBorder="1" applyAlignment="1">
      <alignment vertical="top"/>
    </xf>
    <xf numFmtId="9" fontId="0" fillId="45" borderId="11" xfId="55" applyFill="1" applyBorder="1" applyAlignment="1">
      <alignment vertical="top"/>
    </xf>
    <xf numFmtId="174" fontId="0" fillId="50" borderId="20" xfId="55" applyNumberFormat="1" applyFill="1" applyBorder="1" applyAlignment="1">
      <alignment vertical="top"/>
    </xf>
    <xf numFmtId="0" fontId="7" fillId="41" borderId="11" xfId="0" applyFont="1" applyFill="1" applyBorder="1" applyAlignment="1">
      <alignment horizontal="center" vertical="top"/>
    </xf>
    <xf numFmtId="0" fontId="7" fillId="44" borderId="11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7" fillId="41" borderId="18" xfId="0" applyFont="1" applyFill="1" applyBorder="1" applyAlignment="1">
      <alignment horizontal="center" vertical="top"/>
    </xf>
    <xf numFmtId="10" fontId="0" fillId="48" borderId="18" xfId="55" applyNumberFormat="1" applyFill="1" applyBorder="1" applyAlignment="1">
      <alignment vertical="top"/>
    </xf>
    <xf numFmtId="174" fontId="0" fillId="50" borderId="23" xfId="55" applyNumberFormat="1" applyFill="1" applyBorder="1" applyAlignment="1">
      <alignment vertical="top"/>
    </xf>
    <xf numFmtId="10" fontId="0" fillId="39" borderId="18" xfId="55" applyNumberFormat="1" applyFill="1" applyBorder="1" applyAlignment="1">
      <alignment vertical="top"/>
    </xf>
    <xf numFmtId="2" fontId="9" fillId="48" borderId="18" xfId="0" applyNumberFormat="1" applyFont="1" applyFill="1" applyBorder="1" applyAlignment="1">
      <alignment vertical="top"/>
    </xf>
    <xf numFmtId="2" fontId="9" fillId="50" borderId="18" xfId="0" applyNumberFormat="1" applyFont="1" applyFill="1" applyBorder="1" applyAlignment="1">
      <alignment vertical="top"/>
    </xf>
    <xf numFmtId="2" fontId="7" fillId="50" borderId="18" xfId="0" applyNumberFormat="1" applyFont="1" applyFill="1" applyBorder="1" applyAlignment="1">
      <alignment vertical="top"/>
    </xf>
    <xf numFmtId="2" fontId="0" fillId="39" borderId="18" xfId="0" applyNumberFormat="1" applyFill="1" applyBorder="1" applyAlignment="1">
      <alignment vertical="top"/>
    </xf>
    <xf numFmtId="10" fontId="0" fillId="50" borderId="18" xfId="55" applyNumberFormat="1" applyFill="1" applyBorder="1" applyAlignment="1">
      <alignment vertical="top"/>
    </xf>
    <xf numFmtId="2" fontId="7" fillId="39" borderId="18" xfId="0" applyNumberFormat="1" applyFont="1" applyFill="1" applyBorder="1" applyAlignment="1">
      <alignment vertical="top"/>
    </xf>
    <xf numFmtId="2" fontId="9" fillId="39" borderId="18" xfId="0" applyNumberFormat="1" applyFont="1" applyFill="1" applyBorder="1" applyAlignment="1">
      <alignment vertical="top"/>
    </xf>
    <xf numFmtId="2" fontId="1" fillId="39" borderId="18" xfId="0" applyNumberFormat="1" applyFont="1" applyFill="1" applyBorder="1" applyAlignment="1">
      <alignment vertical="top"/>
    </xf>
    <xf numFmtId="174" fontId="0" fillId="50" borderId="18" xfId="55" applyNumberFormat="1" applyFill="1" applyBorder="1" applyAlignment="1">
      <alignment vertical="top"/>
    </xf>
    <xf numFmtId="2" fontId="0" fillId="39" borderId="18" xfId="0" applyNumberFormat="1" applyFill="1" applyBorder="1" applyAlignment="1">
      <alignment/>
    </xf>
    <xf numFmtId="0" fontId="0" fillId="0" borderId="15" xfId="0" applyFill="1" applyBorder="1" applyAlignment="1">
      <alignment horizontal="left" wrapText="1" indent="1"/>
    </xf>
    <xf numFmtId="0" fontId="0" fillId="33" borderId="15" xfId="0" applyFont="1" applyFill="1" applyBorder="1" applyAlignment="1">
      <alignment horizontal="left" vertical="top" indent="1"/>
    </xf>
    <xf numFmtId="4" fontId="9" fillId="39" borderId="11" xfId="0" applyNumberFormat="1" applyFont="1" applyFill="1" applyBorder="1" applyAlignment="1">
      <alignment vertical="top"/>
    </xf>
    <xf numFmtId="1" fontId="7" fillId="39" borderId="20" xfId="0" applyNumberFormat="1" applyFont="1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/>
    </xf>
    <xf numFmtId="2" fontId="7" fillId="44" borderId="15" xfId="0" applyNumberFormat="1" applyFont="1" applyFill="1" applyBorder="1" applyAlignment="1">
      <alignment vertical="top"/>
    </xf>
    <xf numFmtId="3" fontId="9" fillId="33" borderId="16" xfId="0" applyNumberFormat="1" applyFont="1" applyFill="1" applyBorder="1" applyAlignment="1">
      <alignment vertical="top"/>
    </xf>
    <xf numFmtId="10" fontId="0" fillId="42" borderId="11" xfId="55" applyNumberFormat="1" applyFill="1" applyBorder="1" applyAlignment="1">
      <alignment vertical="top"/>
    </xf>
    <xf numFmtId="3" fontId="9" fillId="33" borderId="19" xfId="0" applyNumberFormat="1" applyFont="1" applyFill="1" applyBorder="1" applyAlignment="1">
      <alignment vertical="top"/>
    </xf>
    <xf numFmtId="3" fontId="9" fillId="33" borderId="24" xfId="0" applyNumberFormat="1" applyFont="1" applyFill="1" applyBorder="1" applyAlignment="1">
      <alignment vertical="top"/>
    </xf>
    <xf numFmtId="2" fontId="9" fillId="52" borderId="11" xfId="0" applyNumberFormat="1" applyFont="1" applyFill="1" applyBorder="1" applyAlignment="1">
      <alignment vertical="top"/>
    </xf>
    <xf numFmtId="10" fontId="0" fillId="52" borderId="11" xfId="55" applyNumberFormat="1" applyFill="1" applyBorder="1" applyAlignment="1">
      <alignment vertical="top"/>
    </xf>
    <xf numFmtId="9" fontId="0" fillId="52" borderId="11" xfId="55" applyFill="1" applyBorder="1" applyAlignment="1">
      <alignment vertical="top"/>
    </xf>
    <xf numFmtId="4" fontId="7" fillId="39" borderId="11" xfId="0" applyNumberFormat="1" applyFont="1" applyFill="1" applyBorder="1" applyAlignment="1">
      <alignment vertical="top"/>
    </xf>
    <xf numFmtId="2" fontId="7" fillId="48" borderId="11" xfId="0" applyNumberFormat="1" applyFont="1" applyFill="1" applyBorder="1" applyAlignment="1">
      <alignment vertical="top"/>
    </xf>
    <xf numFmtId="2" fontId="7" fillId="52" borderId="11" xfId="0" applyNumberFormat="1" applyFont="1" applyFill="1" applyBorder="1" applyAlignment="1">
      <alignment vertical="top"/>
    </xf>
    <xf numFmtId="10" fontId="0" fillId="39" borderId="11" xfId="55" applyNumberFormat="1" applyFont="1" applyFill="1" applyBorder="1" applyAlignment="1">
      <alignment vertical="top"/>
    </xf>
    <xf numFmtId="10" fontId="0" fillId="42" borderId="18" xfId="55" applyNumberFormat="1" applyFill="1" applyBorder="1" applyAlignment="1">
      <alignment vertical="top"/>
    </xf>
    <xf numFmtId="9" fontId="0" fillId="48" borderId="18" xfId="55" applyFill="1" applyBorder="1" applyAlignment="1">
      <alignment vertical="top"/>
    </xf>
    <xf numFmtId="4" fontId="9" fillId="39" borderId="18" xfId="0" applyNumberFormat="1" applyFont="1" applyFill="1" applyBorder="1" applyAlignment="1">
      <alignment vertical="top"/>
    </xf>
    <xf numFmtId="4" fontId="7" fillId="39" borderId="18" xfId="0" applyNumberFormat="1" applyFont="1" applyFill="1" applyBorder="1" applyAlignment="1">
      <alignment vertical="top"/>
    </xf>
    <xf numFmtId="0" fontId="7" fillId="48" borderId="18" xfId="0" applyFont="1" applyFill="1" applyBorder="1" applyAlignment="1">
      <alignment vertical="top"/>
    </xf>
    <xf numFmtId="2" fontId="7" fillId="48" borderId="18" xfId="0" applyNumberFormat="1" applyFont="1" applyFill="1" applyBorder="1" applyAlignment="1">
      <alignment vertical="top"/>
    </xf>
    <xf numFmtId="10" fontId="0" fillId="48" borderId="15" xfId="55" applyNumberFormat="1" applyFill="1" applyBorder="1" applyAlignment="1" applyProtection="1">
      <alignment vertical="top"/>
      <protection/>
    </xf>
    <xf numFmtId="2" fontId="7" fillId="48" borderId="15" xfId="55" applyNumberFormat="1" applyFont="1" applyFill="1" applyBorder="1" applyAlignment="1" applyProtection="1">
      <alignment vertical="top"/>
      <protection/>
    </xf>
    <xf numFmtId="0" fontId="0" fillId="46" borderId="15" xfId="0" applyFont="1" applyFill="1" applyBorder="1" applyAlignment="1">
      <alignment horizontal="left" vertical="top" wrapText="1" indent="1"/>
    </xf>
    <xf numFmtId="1" fontId="7" fillId="46" borderId="15" xfId="55" applyNumberFormat="1" applyFont="1" applyFill="1" applyBorder="1" applyAlignment="1" applyProtection="1">
      <alignment vertical="top"/>
      <protection/>
    </xf>
    <xf numFmtId="4" fontId="7" fillId="46" borderId="15" xfId="55" applyNumberFormat="1" applyFont="1" applyFill="1" applyBorder="1" applyAlignment="1" applyProtection="1">
      <alignment vertical="top"/>
      <protection/>
    </xf>
    <xf numFmtId="10" fontId="0" fillId="39" borderId="19" xfId="55" applyNumberFormat="1" applyFill="1" applyBorder="1" applyAlignment="1">
      <alignment vertical="top"/>
    </xf>
    <xf numFmtId="0" fontId="7" fillId="39" borderId="19" xfId="0" applyFont="1" applyFill="1" applyBorder="1" applyAlignment="1">
      <alignment vertical="top"/>
    </xf>
    <xf numFmtId="4" fontId="1" fillId="39" borderId="19" xfId="0" applyNumberFormat="1" applyFont="1" applyFill="1" applyBorder="1" applyAlignment="1">
      <alignment vertical="top"/>
    </xf>
    <xf numFmtId="4" fontId="9" fillId="39" borderId="19" xfId="0" applyNumberFormat="1" applyFont="1" applyFill="1" applyBorder="1" applyAlignment="1">
      <alignment vertical="top"/>
    </xf>
    <xf numFmtId="0" fontId="0" fillId="46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33" borderId="11" xfId="0" applyFont="1" applyFill="1" applyBorder="1" applyAlignment="1">
      <alignment horizontal="left" vertical="top" wrapText="1" indent="1"/>
    </xf>
    <xf numFmtId="174" fontId="0" fillId="45" borderId="19" xfId="55" applyNumberFormat="1" applyFill="1" applyBorder="1" applyAlignment="1">
      <alignment vertical="top"/>
    </xf>
    <xf numFmtId="2" fontId="9" fillId="52" borderId="19" xfId="0" applyNumberFormat="1" applyFont="1" applyFill="1" applyBorder="1" applyAlignment="1">
      <alignment vertical="top"/>
    </xf>
    <xf numFmtId="10" fontId="0" fillId="52" borderId="19" xfId="55" applyNumberFormat="1" applyFill="1" applyBorder="1" applyAlignment="1">
      <alignment vertical="top"/>
    </xf>
    <xf numFmtId="0" fontId="3" fillId="46" borderId="11" xfId="0" applyFont="1" applyFill="1" applyBorder="1" applyAlignment="1">
      <alignment horizontal="left" vertical="top" indent="1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 vertical="top" wrapText="1"/>
    </xf>
    <xf numFmtId="1" fontId="7" fillId="39" borderId="19" xfId="0" applyNumberFormat="1" applyFont="1" applyFill="1" applyBorder="1" applyAlignment="1">
      <alignment vertical="top"/>
    </xf>
    <xf numFmtId="2" fontId="9" fillId="39" borderId="19" xfId="0" applyNumberFormat="1" applyFont="1" applyFill="1" applyBorder="1" applyAlignment="1">
      <alignment vertical="top"/>
    </xf>
    <xf numFmtId="10" fontId="0" fillId="39" borderId="16" xfId="55" applyNumberFormat="1" applyFill="1" applyBorder="1" applyAlignment="1">
      <alignment vertical="top"/>
    </xf>
    <xf numFmtId="2" fontId="1" fillId="39" borderId="25" xfId="0" applyNumberFormat="1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4" fontId="9" fillId="45" borderId="19" xfId="0" applyNumberFormat="1" applyFont="1" applyFill="1" applyBorder="1" applyAlignment="1">
      <alignment vertical="top"/>
    </xf>
    <xf numFmtId="0" fontId="0" fillId="46" borderId="11" xfId="0" applyFill="1" applyBorder="1" applyAlignment="1">
      <alignment vertical="top"/>
    </xf>
    <xf numFmtId="172" fontId="7" fillId="33" borderId="11" xfId="0" applyNumberFormat="1" applyFont="1" applyFill="1" applyBorder="1" applyAlignment="1">
      <alignment vertical="top"/>
    </xf>
    <xf numFmtId="2" fontId="7" fillId="33" borderId="11" xfId="0" applyNumberFormat="1" applyFont="1" applyFill="1" applyBorder="1" applyAlignment="1">
      <alignment vertical="top"/>
    </xf>
    <xf numFmtId="9" fontId="0" fillId="39" borderId="12" xfId="55" applyFill="1" applyBorder="1" applyAlignment="1">
      <alignment vertical="top"/>
    </xf>
    <xf numFmtId="0" fontId="7" fillId="37" borderId="11" xfId="0" applyFont="1" applyFill="1" applyBorder="1" applyAlignment="1">
      <alignment vertical="top"/>
    </xf>
    <xf numFmtId="0" fontId="3" fillId="39" borderId="0" xfId="0" applyFont="1" applyFill="1" applyBorder="1" applyAlignment="1">
      <alignment vertical="top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7" fillId="33" borderId="16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zoomScaleSheetLayoutView="100" workbookViewId="0" topLeftCell="A1">
      <selection activeCell="E19" sqref="E19"/>
    </sheetView>
  </sheetViews>
  <sheetFormatPr defaultColWidth="9.140625" defaultRowHeight="15"/>
  <cols>
    <col min="1" max="5" width="9.140625" style="44" customWidth="1"/>
    <col min="6" max="6" width="12.8515625" style="44" customWidth="1"/>
    <col min="7" max="16384" width="9.140625" style="44" customWidth="1"/>
  </cols>
  <sheetData>
    <row r="2" spans="3:7" ht="15">
      <c r="C2" s="353" t="s">
        <v>74</v>
      </c>
      <c r="D2" s="353"/>
      <c r="E2" s="353"/>
      <c r="F2" s="353"/>
      <c r="G2" s="353"/>
    </row>
    <row r="3" spans="3:7" ht="15">
      <c r="C3" s="352" t="s">
        <v>76</v>
      </c>
      <c r="D3" s="352"/>
      <c r="E3" s="352"/>
      <c r="F3" s="352"/>
      <c r="G3" s="352"/>
    </row>
    <row r="5" spans="1:2" ht="15">
      <c r="A5" s="46">
        <v>1</v>
      </c>
      <c r="B5" s="45" t="s">
        <v>78</v>
      </c>
    </row>
    <row r="6" spans="2:11" ht="31.5" customHeight="1">
      <c r="B6" s="355" t="s">
        <v>75</v>
      </c>
      <c r="C6" s="355"/>
      <c r="D6" s="355"/>
      <c r="E6" s="355"/>
      <c r="F6" s="355"/>
      <c r="G6" s="355"/>
      <c r="H6" s="47"/>
      <c r="J6" s="118" t="b">
        <v>1</v>
      </c>
      <c r="K6" s="118">
        <f>IF(J6=TRUE,1,0)</f>
        <v>1</v>
      </c>
    </row>
    <row r="7" spans="2:11" ht="33" customHeight="1">
      <c r="B7" s="354" t="s">
        <v>69</v>
      </c>
      <c r="C7" s="354"/>
      <c r="D7" s="354"/>
      <c r="E7" s="354"/>
      <c r="F7" s="354"/>
      <c r="G7" s="354"/>
      <c r="H7" s="48"/>
      <c r="J7" s="118" t="b">
        <v>1</v>
      </c>
      <c r="K7" s="118">
        <f>IF(OR(J6=TRUE,J7=TRUE),1,0)</f>
        <v>1</v>
      </c>
    </row>
    <row r="8" spans="2:11" ht="29.25" customHeight="1">
      <c r="B8" s="354" t="s">
        <v>77</v>
      </c>
      <c r="C8" s="354"/>
      <c r="D8" s="354"/>
      <c r="E8" s="354"/>
      <c r="F8" s="354"/>
      <c r="G8" s="354"/>
      <c r="H8" s="48"/>
      <c r="J8" s="118" t="b">
        <v>1</v>
      </c>
      <c r="K8" s="118">
        <f>IF(J8=TRUE,1,0)</f>
        <v>1</v>
      </c>
    </row>
    <row r="9" ht="15"/>
    <row r="10" spans="1:10" ht="15">
      <c r="A10" s="46">
        <v>2</v>
      </c>
      <c r="B10" s="45" t="s">
        <v>79</v>
      </c>
      <c r="J10" s="118">
        <v>1</v>
      </c>
    </row>
    <row r="11" ht="15">
      <c r="J11" s="119"/>
    </row>
    <row r="12" spans="3:10" ht="15" hidden="1">
      <c r="C12" s="44" t="s">
        <v>70</v>
      </c>
      <c r="J12" s="119"/>
    </row>
    <row r="13" spans="3:10" ht="15" hidden="1">
      <c r="C13" s="44" t="s">
        <v>71</v>
      </c>
      <c r="J13" s="119"/>
    </row>
    <row r="14" ht="15">
      <c r="J14" s="119"/>
    </row>
    <row r="15" spans="1:10" ht="15">
      <c r="A15" s="46">
        <v>3</v>
      </c>
      <c r="B15" s="45" t="s">
        <v>80</v>
      </c>
      <c r="J15" s="118">
        <v>1</v>
      </c>
    </row>
    <row r="16" ht="15"/>
    <row r="17" ht="15" hidden="1">
      <c r="C17" s="44" t="s">
        <v>72</v>
      </c>
    </row>
    <row r="18" ht="15" hidden="1">
      <c r="C18" s="44" t="s">
        <v>73</v>
      </c>
    </row>
    <row r="19" spans="1:5" ht="15">
      <c r="A19" s="46">
        <v>4</v>
      </c>
      <c r="B19" s="45" t="s">
        <v>81</v>
      </c>
      <c r="E19" s="72">
        <v>10</v>
      </c>
    </row>
    <row r="20" spans="1:2" ht="15">
      <c r="A20" s="46"/>
      <c r="B20" s="45"/>
    </row>
    <row r="22" spans="1:9" ht="15" customHeight="1">
      <c r="A22" s="351" t="s">
        <v>123</v>
      </c>
      <c r="B22" s="351"/>
      <c r="C22" s="351"/>
      <c r="D22" s="351"/>
      <c r="E22" s="351"/>
      <c r="F22" s="351"/>
      <c r="G22" s="351"/>
      <c r="H22" s="351"/>
      <c r="I22" s="351"/>
    </row>
    <row r="23" spans="1:9" ht="15">
      <c r="A23" s="351"/>
      <c r="B23" s="351"/>
      <c r="C23" s="351"/>
      <c r="D23" s="351"/>
      <c r="E23" s="351"/>
      <c r="F23" s="351"/>
      <c r="G23" s="351"/>
      <c r="H23" s="351"/>
      <c r="I23" s="351"/>
    </row>
    <row r="24" spans="1:9" ht="15">
      <c r="A24" s="351"/>
      <c r="B24" s="351"/>
      <c r="C24" s="351"/>
      <c r="D24" s="351"/>
      <c r="E24" s="351"/>
      <c r="F24" s="351"/>
      <c r="G24" s="351"/>
      <c r="H24" s="351"/>
      <c r="I24" s="351"/>
    </row>
    <row r="25" spans="1:9" ht="15">
      <c r="A25" s="351"/>
      <c r="B25" s="351"/>
      <c r="C25" s="351"/>
      <c r="D25" s="351"/>
      <c r="E25" s="351"/>
      <c r="F25" s="351"/>
      <c r="G25" s="351"/>
      <c r="H25" s="351"/>
      <c r="I25" s="351"/>
    </row>
    <row r="26" spans="1:9" ht="15">
      <c r="A26" s="351"/>
      <c r="B26" s="351"/>
      <c r="C26" s="351"/>
      <c r="D26" s="351"/>
      <c r="E26" s="351"/>
      <c r="F26" s="351"/>
      <c r="G26" s="351"/>
      <c r="H26" s="351"/>
      <c r="I26" s="351"/>
    </row>
    <row r="27" spans="1:9" ht="15">
      <c r="A27" s="351"/>
      <c r="B27" s="351"/>
      <c r="C27" s="351"/>
      <c r="D27" s="351"/>
      <c r="E27" s="351"/>
      <c r="F27" s="351"/>
      <c r="G27" s="351"/>
      <c r="H27" s="351"/>
      <c r="I27" s="351"/>
    </row>
    <row r="28" spans="1:9" ht="15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ht="54" customHeight="1">
      <c r="A29" s="351" t="s">
        <v>124</v>
      </c>
      <c r="B29" s="351"/>
      <c r="C29" s="351"/>
      <c r="D29" s="351"/>
      <c r="E29" s="351"/>
      <c r="F29" s="351"/>
      <c r="G29" s="351"/>
      <c r="H29" s="351"/>
      <c r="I29" s="351"/>
    </row>
    <row r="30" spans="1:9" ht="15">
      <c r="A30" s="107"/>
      <c r="B30" s="107"/>
      <c r="C30" s="107"/>
      <c r="D30" s="107"/>
      <c r="E30" s="107"/>
      <c r="F30" s="107"/>
      <c r="G30" s="107"/>
      <c r="H30" s="107"/>
      <c r="I30" s="107"/>
    </row>
    <row r="31" spans="1:9" ht="1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1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ht="1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9" ht="15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5">
      <c r="A35" s="107"/>
      <c r="B35" s="107"/>
      <c r="C35" s="107"/>
      <c r="D35" s="107"/>
      <c r="E35" s="107"/>
      <c r="F35" s="107"/>
      <c r="G35" s="107"/>
      <c r="H35" s="107"/>
      <c r="I35" s="107"/>
    </row>
  </sheetData>
  <sheetProtection formatCells="0" formatColumns="0" formatRows="0"/>
  <protectedRanges>
    <protectedRange sqref="E19" name="Диапазон1"/>
  </protectedRanges>
  <mergeCells count="7">
    <mergeCell ref="A22:I27"/>
    <mergeCell ref="A29:I29"/>
    <mergeCell ref="C3:G3"/>
    <mergeCell ref="C2:G2"/>
    <mergeCell ref="B8:G8"/>
    <mergeCell ref="B7:G7"/>
    <mergeCell ref="B6:G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C102"/>
  <sheetViews>
    <sheetView view="pageBreakPreview" zoomScaleNormal="85" zoomScaleSheetLayoutView="100" workbookViewId="0" topLeftCell="A3">
      <pane xSplit="2" ySplit="4" topLeftCell="C46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F60" sqref="F60"/>
    </sheetView>
  </sheetViews>
  <sheetFormatPr defaultColWidth="9.140625" defaultRowHeight="15"/>
  <cols>
    <col min="1" max="1" width="43.8515625" style="16" customWidth="1"/>
    <col min="2" max="2" width="9.8515625" style="30" customWidth="1"/>
    <col min="3" max="3" width="9.8515625" style="43" customWidth="1"/>
    <col min="4" max="4" width="9.8515625" style="30" customWidth="1"/>
    <col min="5" max="5" width="9.8515625" style="42" customWidth="1"/>
    <col min="6" max="6" width="9.8515625" style="43" customWidth="1"/>
    <col min="7" max="10" width="9.8515625" style="30" customWidth="1"/>
    <col min="11" max="11" width="9.8515625" style="43" customWidth="1"/>
    <col min="12" max="15" width="9.8515625" style="30" customWidth="1"/>
    <col min="16" max="16" width="9.8515625" style="43" customWidth="1"/>
    <col min="17" max="20" width="9.8515625" style="30" customWidth="1"/>
    <col min="21" max="21" width="9.8515625" style="43" customWidth="1"/>
    <col min="22" max="22" width="9.8515625" style="30" customWidth="1"/>
    <col min="23" max="23" width="7.140625" style="15" customWidth="1"/>
    <col min="24" max="25" width="9.140625" style="16" customWidth="1"/>
    <col min="26" max="26" width="9.140625" style="51" customWidth="1"/>
    <col min="27" max="30" width="9.140625" style="16" customWidth="1"/>
    <col min="31" max="31" width="9.140625" style="51" customWidth="1"/>
    <col min="32" max="16384" width="9.140625" style="16" customWidth="1"/>
  </cols>
  <sheetData>
    <row r="1" spans="1:22" ht="30" hidden="1">
      <c r="A1" s="55" t="s">
        <v>66</v>
      </c>
      <c r="B1" s="26">
        <v>0</v>
      </c>
      <c r="C1" s="39"/>
      <c r="D1" s="15"/>
      <c r="E1" s="37"/>
      <c r="F1" s="39"/>
      <c r="G1" s="15"/>
      <c r="H1" s="15"/>
      <c r="I1" s="15"/>
      <c r="J1" s="15"/>
      <c r="K1" s="39"/>
      <c r="L1" s="15"/>
      <c r="M1" s="15"/>
      <c r="N1" s="15"/>
      <c r="O1" s="15"/>
      <c r="P1" s="39"/>
      <c r="Q1" s="15"/>
      <c r="R1" s="15"/>
      <c r="S1" s="15"/>
      <c r="T1" s="15"/>
      <c r="U1" s="39"/>
      <c r="V1" s="15"/>
    </row>
    <row r="2" spans="1:22" ht="15" hidden="1">
      <c r="A2" s="32"/>
      <c r="B2" s="15"/>
      <c r="C2" s="39"/>
      <c r="D2" s="15"/>
      <c r="E2" s="37"/>
      <c r="F2" s="39"/>
      <c r="G2" s="15"/>
      <c r="H2" s="15"/>
      <c r="I2" s="15"/>
      <c r="J2" s="15"/>
      <c r="K2" s="39"/>
      <c r="L2" s="15"/>
      <c r="M2" s="15"/>
      <c r="N2" s="15"/>
      <c r="O2" s="15"/>
      <c r="P2" s="39"/>
      <c r="Q2" s="15"/>
      <c r="R2" s="15"/>
      <c r="S2" s="15"/>
      <c r="T2" s="15"/>
      <c r="U2" s="39"/>
      <c r="V2" s="15"/>
    </row>
    <row r="3" spans="1:55" ht="15">
      <c r="A3" s="32" t="s">
        <v>53</v>
      </c>
      <c r="B3" s="15"/>
      <c r="C3" s="39"/>
      <c r="D3" s="15"/>
      <c r="E3" s="37"/>
      <c r="F3" s="39"/>
      <c r="G3" s="15"/>
      <c r="H3" s="15"/>
      <c r="I3" s="15"/>
      <c r="J3" s="15"/>
      <c r="K3" s="39"/>
      <c r="L3" s="15"/>
      <c r="M3" s="15"/>
      <c r="N3" s="15"/>
      <c r="O3" s="15"/>
      <c r="P3" s="39"/>
      <c r="Q3" s="15"/>
      <c r="R3" s="15"/>
      <c r="S3" s="15"/>
      <c r="T3" s="15"/>
      <c r="U3" s="39"/>
      <c r="V3" s="15"/>
      <c r="W3" s="34"/>
      <c r="X3" s="34"/>
      <c r="Y3" s="34"/>
      <c r="Z3" s="52"/>
      <c r="AA3" s="34"/>
      <c r="AB3" s="34"/>
      <c r="AC3" s="34"/>
      <c r="AD3" s="34"/>
      <c r="AE3" s="52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2:23" ht="14.25" customHeight="1">
      <c r="B4" s="16"/>
      <c r="C4" s="39"/>
      <c r="D4" s="15"/>
      <c r="E4" s="37"/>
      <c r="F4" s="39"/>
      <c r="G4" s="15"/>
      <c r="H4" s="15"/>
      <c r="I4" s="15"/>
      <c r="J4" s="15"/>
      <c r="K4" s="39"/>
      <c r="L4" s="15"/>
      <c r="M4" s="15"/>
      <c r="N4" s="15"/>
      <c r="O4" s="15"/>
      <c r="P4" s="39"/>
      <c r="Q4" s="15"/>
      <c r="R4" s="15"/>
      <c r="S4" s="15"/>
      <c r="T4" s="15"/>
      <c r="U4" s="39"/>
      <c r="V4" s="15"/>
      <c r="W4" s="34"/>
    </row>
    <row r="5" spans="1:55" ht="15">
      <c r="A5" s="33"/>
      <c r="B5" s="15"/>
      <c r="C5" s="356" t="s">
        <v>29</v>
      </c>
      <c r="D5" s="356"/>
      <c r="E5" s="356"/>
      <c r="F5" s="356" t="s">
        <v>30</v>
      </c>
      <c r="G5" s="356"/>
      <c r="H5" s="356"/>
      <c r="I5" s="356"/>
      <c r="J5" s="356"/>
      <c r="K5" s="356" t="s">
        <v>31</v>
      </c>
      <c r="L5" s="356"/>
      <c r="M5" s="356"/>
      <c r="N5" s="356"/>
      <c r="O5" s="356"/>
      <c r="P5" s="356" t="s">
        <v>32</v>
      </c>
      <c r="Q5" s="356"/>
      <c r="R5" s="356"/>
      <c r="S5" s="356"/>
      <c r="T5" s="356"/>
      <c r="U5" s="356" t="s">
        <v>33</v>
      </c>
      <c r="V5" s="356"/>
      <c r="W5" s="356"/>
      <c r="X5" s="356"/>
      <c r="Y5" s="356"/>
      <c r="Z5" s="356" t="s">
        <v>82</v>
      </c>
      <c r="AA5" s="356"/>
      <c r="AB5" s="356"/>
      <c r="AC5" s="356"/>
      <c r="AD5" s="356"/>
      <c r="AE5" s="108" t="s">
        <v>83</v>
      </c>
      <c r="AF5" s="109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9.5" customHeight="1">
      <c r="A6" s="300" t="s">
        <v>97</v>
      </c>
      <c r="B6" s="301">
        <v>0</v>
      </c>
      <c r="C6" s="278">
        <v>1</v>
      </c>
      <c r="D6" s="278">
        <v>2</v>
      </c>
      <c r="E6" s="278">
        <v>3</v>
      </c>
      <c r="F6" s="279">
        <v>4</v>
      </c>
      <c r="G6" s="279">
        <v>5</v>
      </c>
      <c r="H6" s="279">
        <v>6</v>
      </c>
      <c r="I6" s="279">
        <v>7</v>
      </c>
      <c r="J6" s="279">
        <v>8</v>
      </c>
      <c r="K6" s="278">
        <v>9</v>
      </c>
      <c r="L6" s="278">
        <v>10</v>
      </c>
      <c r="M6" s="278">
        <v>11</v>
      </c>
      <c r="N6" s="278">
        <v>12</v>
      </c>
      <c r="O6" s="278">
        <v>13</v>
      </c>
      <c r="P6" s="279">
        <v>14</v>
      </c>
      <c r="Q6" s="279">
        <v>15</v>
      </c>
      <c r="R6" s="279">
        <v>16</v>
      </c>
      <c r="S6" s="279">
        <v>17</v>
      </c>
      <c r="T6" s="279">
        <v>18</v>
      </c>
      <c r="U6" s="278">
        <v>19</v>
      </c>
      <c r="V6" s="278">
        <v>20</v>
      </c>
      <c r="W6" s="278">
        <v>21</v>
      </c>
      <c r="X6" s="278">
        <v>22</v>
      </c>
      <c r="Y6" s="278">
        <v>23</v>
      </c>
      <c r="Z6" s="279">
        <v>24</v>
      </c>
      <c r="AA6" s="279">
        <v>25</v>
      </c>
      <c r="AB6" s="279">
        <v>26</v>
      </c>
      <c r="AC6" s="279">
        <v>27</v>
      </c>
      <c r="AD6" s="279">
        <v>28</v>
      </c>
      <c r="AE6" s="278">
        <v>29</v>
      </c>
      <c r="AF6" s="282">
        <v>30</v>
      </c>
      <c r="AG6" s="29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ht="15">
      <c r="A7" s="296" t="s">
        <v>40</v>
      </c>
      <c r="B7" s="299">
        <v>20</v>
      </c>
      <c r="C7" s="16"/>
      <c r="D7" s="57"/>
      <c r="E7" s="57"/>
      <c r="F7" s="57"/>
      <c r="G7" s="57"/>
      <c r="H7" s="57"/>
      <c r="I7" s="9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31" ht="14.25" customHeight="1">
      <c r="A8" s="297" t="s">
        <v>63</v>
      </c>
      <c r="B8" s="264">
        <v>0.107</v>
      </c>
      <c r="C8" s="15"/>
      <c r="D8" s="57"/>
      <c r="E8" s="57"/>
      <c r="F8" s="57"/>
      <c r="G8" s="57"/>
      <c r="H8" s="57"/>
      <c r="I8" s="9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Z8" s="16"/>
      <c r="AE8" s="16"/>
    </row>
    <row r="9" spans="1:31" ht="15.75" customHeight="1">
      <c r="A9" s="297" t="s">
        <v>217</v>
      </c>
      <c r="B9" s="264">
        <v>0.022</v>
      </c>
      <c r="C9" s="15"/>
      <c r="D9" s="57"/>
      <c r="E9" s="57"/>
      <c r="F9" s="57"/>
      <c r="G9" s="57"/>
      <c r="H9" s="57"/>
      <c r="I9" s="9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Z9" s="16"/>
      <c r="AE9" s="16"/>
    </row>
    <row r="10" spans="1:31" ht="16.5" customHeight="1">
      <c r="A10" s="258" t="s">
        <v>10</v>
      </c>
      <c r="B10" s="264">
        <v>0.2</v>
      </c>
      <c r="C10" s="15"/>
      <c r="D10" s="57"/>
      <c r="E10" s="57"/>
      <c r="F10" s="57"/>
      <c r="G10" s="57"/>
      <c r="H10" s="57"/>
      <c r="I10" s="9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Z10" s="16"/>
      <c r="AE10" s="16"/>
    </row>
    <row r="11" spans="1:55" ht="17.25" customHeight="1">
      <c r="A11" s="281" t="s">
        <v>92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ht="45" customHeight="1">
      <c r="A12" s="99" t="s">
        <v>93</v>
      </c>
      <c r="B12" s="298">
        <v>17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ht="30.75" customHeight="1">
      <c r="A13" s="99" t="s">
        <v>107</v>
      </c>
      <c r="B13" s="298">
        <v>10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ht="32.25" customHeight="1">
      <c r="A14" s="99" t="s">
        <v>94</v>
      </c>
      <c r="B14" s="298">
        <v>13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ht="30" customHeight="1">
      <c r="A15" s="99" t="s">
        <v>110</v>
      </c>
      <c r="B15" s="298">
        <f>3.19*1.2</f>
        <v>3.828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1:55" ht="123" customHeight="1">
      <c r="A16" s="99" t="s">
        <v>115</v>
      </c>
      <c r="B16" s="298">
        <v>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1:55" ht="20.25" customHeight="1">
      <c r="A17" s="338" t="s">
        <v>257</v>
      </c>
      <c r="B17" s="30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 ht="108.75" customHeight="1">
      <c r="A18" s="330" t="s">
        <v>57</v>
      </c>
      <c r="B18" s="305"/>
      <c r="C18" s="264">
        <v>0.07</v>
      </c>
      <c r="D18" s="304">
        <v>0.07</v>
      </c>
      <c r="E18" s="304">
        <v>0.07</v>
      </c>
      <c r="F18" s="304">
        <v>0.07</v>
      </c>
      <c r="G18" s="304">
        <v>0.07</v>
      </c>
      <c r="H18" s="304">
        <v>0.07</v>
      </c>
      <c r="I18" s="304">
        <v>0.07</v>
      </c>
      <c r="J18" s="304">
        <v>0.07</v>
      </c>
      <c r="K18" s="304">
        <v>0.07</v>
      </c>
      <c r="L18" s="304">
        <v>0.07</v>
      </c>
      <c r="M18" s="304">
        <v>0.07</v>
      </c>
      <c r="N18" s="304">
        <v>0.07</v>
      </c>
      <c r="O18" s="304">
        <v>0.07</v>
      </c>
      <c r="P18" s="304">
        <v>0.07</v>
      </c>
      <c r="Q18" s="304">
        <v>0.07</v>
      </c>
      <c r="R18" s="304">
        <v>0.07</v>
      </c>
      <c r="S18" s="304">
        <v>0.07</v>
      </c>
      <c r="T18" s="304">
        <v>0.07</v>
      </c>
      <c r="U18" s="304">
        <v>0.07</v>
      </c>
      <c r="V18" s="304">
        <v>0.07</v>
      </c>
      <c r="W18" s="304">
        <v>0.07</v>
      </c>
      <c r="X18" s="304">
        <v>0.07</v>
      </c>
      <c r="Y18" s="304">
        <v>0.07</v>
      </c>
      <c r="Z18" s="304">
        <v>0.07</v>
      </c>
      <c r="AA18" s="304">
        <v>0.07</v>
      </c>
      <c r="AB18" s="304">
        <v>0.07</v>
      </c>
      <c r="AC18" s="304">
        <v>0.07</v>
      </c>
      <c r="AD18" s="304">
        <v>0.07</v>
      </c>
      <c r="AE18" s="304">
        <v>0.07</v>
      </c>
      <c r="AF18" s="314">
        <v>0.07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5" ht="18" customHeight="1">
      <c r="A19" s="330" t="s">
        <v>231</v>
      </c>
      <c r="B19" s="306"/>
      <c r="C19" s="264">
        <v>0.1</v>
      </c>
      <c r="D19" s="304">
        <v>0.11</v>
      </c>
      <c r="E19" s="304">
        <v>0.05</v>
      </c>
      <c r="F19" s="304">
        <v>0.07</v>
      </c>
      <c r="G19" s="304">
        <v>0.07</v>
      </c>
      <c r="H19" s="304">
        <v>0.07</v>
      </c>
      <c r="I19" s="304">
        <v>0.07</v>
      </c>
      <c r="J19" s="304">
        <v>0.07</v>
      </c>
      <c r="K19" s="304">
        <v>0.07</v>
      </c>
      <c r="L19" s="304">
        <v>0.07</v>
      </c>
      <c r="M19" s="304">
        <v>0.07</v>
      </c>
      <c r="N19" s="304">
        <v>0.07</v>
      </c>
      <c r="O19" s="304">
        <v>0.07</v>
      </c>
      <c r="P19" s="304">
        <v>0.07</v>
      </c>
      <c r="Q19" s="304">
        <v>0.07</v>
      </c>
      <c r="R19" s="304">
        <v>0.07</v>
      </c>
      <c r="S19" s="304">
        <v>0.07</v>
      </c>
      <c r="T19" s="304">
        <v>0.07</v>
      </c>
      <c r="U19" s="304">
        <v>0.07</v>
      </c>
      <c r="V19" s="304">
        <v>0.07</v>
      </c>
      <c r="W19" s="304">
        <v>0.07</v>
      </c>
      <c r="X19" s="304">
        <v>0.07</v>
      </c>
      <c r="Y19" s="304">
        <v>0.07</v>
      </c>
      <c r="Z19" s="304">
        <v>0.07</v>
      </c>
      <c r="AA19" s="304">
        <v>0.07</v>
      </c>
      <c r="AB19" s="304">
        <v>0.07</v>
      </c>
      <c r="AC19" s="304">
        <v>0.07</v>
      </c>
      <c r="AD19" s="304">
        <v>0.07</v>
      </c>
      <c r="AE19" s="304">
        <v>0.07</v>
      </c>
      <c r="AF19" s="314">
        <v>0.07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55" ht="19.5" customHeight="1">
      <c r="A20" s="330" t="s">
        <v>54</v>
      </c>
      <c r="B20" s="306"/>
      <c r="C20" s="264">
        <v>0.1</v>
      </c>
      <c r="D20" s="304">
        <v>0.1</v>
      </c>
      <c r="E20" s="304">
        <v>0.07</v>
      </c>
      <c r="F20" s="304">
        <v>0.06</v>
      </c>
      <c r="G20" s="304">
        <v>0.06</v>
      </c>
      <c r="H20" s="304">
        <v>0.06</v>
      </c>
      <c r="I20" s="304">
        <v>0.06</v>
      </c>
      <c r="J20" s="304">
        <v>0.06</v>
      </c>
      <c r="K20" s="304">
        <v>0.06</v>
      </c>
      <c r="L20" s="304">
        <v>0.06</v>
      </c>
      <c r="M20" s="304">
        <v>0.06</v>
      </c>
      <c r="N20" s="304">
        <v>0.06</v>
      </c>
      <c r="O20" s="304">
        <v>0.06</v>
      </c>
      <c r="P20" s="304">
        <v>0.06</v>
      </c>
      <c r="Q20" s="304">
        <v>0.06</v>
      </c>
      <c r="R20" s="304">
        <v>0.06</v>
      </c>
      <c r="S20" s="304">
        <v>0.06</v>
      </c>
      <c r="T20" s="304">
        <v>0.06</v>
      </c>
      <c r="U20" s="304">
        <v>0.06</v>
      </c>
      <c r="V20" s="304">
        <v>0.06</v>
      </c>
      <c r="W20" s="304">
        <v>0.06</v>
      </c>
      <c r="X20" s="304">
        <v>0.06</v>
      </c>
      <c r="Y20" s="304">
        <v>0.06</v>
      </c>
      <c r="Z20" s="304">
        <v>0.06</v>
      </c>
      <c r="AA20" s="304">
        <v>0.06</v>
      </c>
      <c r="AB20" s="304">
        <v>0.06</v>
      </c>
      <c r="AC20" s="304">
        <v>0.06</v>
      </c>
      <c r="AD20" s="304">
        <v>0.06</v>
      </c>
      <c r="AE20" s="304">
        <v>0.06</v>
      </c>
      <c r="AF20" s="314">
        <v>0.06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ht="19.5" customHeight="1">
      <c r="A21" s="330" t="s">
        <v>55</v>
      </c>
      <c r="B21" s="306"/>
      <c r="C21" s="264">
        <v>0.0972</v>
      </c>
      <c r="D21" s="304">
        <v>0.085</v>
      </c>
      <c r="E21" s="304">
        <v>0.076</v>
      </c>
      <c r="F21" s="304">
        <v>0.055</v>
      </c>
      <c r="G21" s="304">
        <v>0.065</v>
      </c>
      <c r="H21" s="304">
        <v>0.065</v>
      </c>
      <c r="I21" s="304">
        <v>0.065</v>
      </c>
      <c r="J21" s="304">
        <v>0.065</v>
      </c>
      <c r="K21" s="304">
        <v>0.065</v>
      </c>
      <c r="L21" s="304">
        <v>0.065</v>
      </c>
      <c r="M21" s="304">
        <v>0.065</v>
      </c>
      <c r="N21" s="304">
        <v>0.065</v>
      </c>
      <c r="O21" s="304">
        <v>0.065</v>
      </c>
      <c r="P21" s="304">
        <v>0.065</v>
      </c>
      <c r="Q21" s="304">
        <v>0.065</v>
      </c>
      <c r="R21" s="304">
        <v>0.065</v>
      </c>
      <c r="S21" s="304">
        <v>0.065</v>
      </c>
      <c r="T21" s="304">
        <v>0.065</v>
      </c>
      <c r="U21" s="304">
        <v>0.065</v>
      </c>
      <c r="V21" s="304">
        <v>0.065</v>
      </c>
      <c r="W21" s="304">
        <v>0.065</v>
      </c>
      <c r="X21" s="304">
        <v>0.065</v>
      </c>
      <c r="Y21" s="304">
        <v>0.065</v>
      </c>
      <c r="Z21" s="304">
        <v>0.065</v>
      </c>
      <c r="AA21" s="304">
        <v>0.065</v>
      </c>
      <c r="AB21" s="304">
        <v>0.065</v>
      </c>
      <c r="AC21" s="304">
        <v>0.065</v>
      </c>
      <c r="AD21" s="304">
        <v>0.065</v>
      </c>
      <c r="AE21" s="304">
        <v>0.065</v>
      </c>
      <c r="AF21" s="314">
        <v>0.065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ht="19.5" customHeight="1">
      <c r="A22" s="330" t="s">
        <v>56</v>
      </c>
      <c r="B22" s="306"/>
      <c r="C22" s="264">
        <v>0.01</v>
      </c>
      <c r="D22" s="304">
        <v>0.08</v>
      </c>
      <c r="E22" s="304">
        <v>0.08</v>
      </c>
      <c r="F22" s="304">
        <v>0.07</v>
      </c>
      <c r="G22" s="304">
        <v>0.06</v>
      </c>
      <c r="H22" s="304">
        <v>0.06</v>
      </c>
      <c r="I22" s="304">
        <v>0.06</v>
      </c>
      <c r="J22" s="304">
        <v>0.06</v>
      </c>
      <c r="K22" s="304">
        <v>0.06</v>
      </c>
      <c r="L22" s="304">
        <v>0.06</v>
      </c>
      <c r="M22" s="304">
        <v>0.06</v>
      </c>
      <c r="N22" s="304">
        <v>0.06</v>
      </c>
      <c r="O22" s="304">
        <v>0.06</v>
      </c>
      <c r="P22" s="304">
        <v>0.06</v>
      </c>
      <c r="Q22" s="304">
        <v>0.06</v>
      </c>
      <c r="R22" s="304">
        <v>0.06</v>
      </c>
      <c r="S22" s="304">
        <v>0.06</v>
      </c>
      <c r="T22" s="304">
        <v>0.06</v>
      </c>
      <c r="U22" s="304">
        <v>0.06</v>
      </c>
      <c r="V22" s="304">
        <v>0.06</v>
      </c>
      <c r="W22" s="304">
        <v>0.06</v>
      </c>
      <c r="X22" s="304">
        <v>0.06</v>
      </c>
      <c r="Y22" s="304">
        <v>0.06</v>
      </c>
      <c r="Z22" s="304">
        <v>0.06</v>
      </c>
      <c r="AA22" s="304">
        <v>0.06</v>
      </c>
      <c r="AB22" s="304">
        <v>0.06</v>
      </c>
      <c r="AC22" s="304">
        <v>0.06</v>
      </c>
      <c r="AD22" s="304">
        <v>0.06</v>
      </c>
      <c r="AE22" s="304">
        <v>0.06</v>
      </c>
      <c r="AF22" s="314">
        <v>0.06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ht="19.5" customHeight="1">
      <c r="A23" s="330" t="s">
        <v>17</v>
      </c>
      <c r="B23" s="306"/>
      <c r="C23" s="264">
        <v>0.1</v>
      </c>
      <c r="D23" s="304">
        <v>0.1</v>
      </c>
      <c r="E23" s="304">
        <v>0.06</v>
      </c>
      <c r="F23" s="304">
        <v>0.07</v>
      </c>
      <c r="G23" s="304">
        <v>0.07</v>
      </c>
      <c r="H23" s="304">
        <v>0.07</v>
      </c>
      <c r="I23" s="304">
        <v>0.07</v>
      </c>
      <c r="J23" s="304">
        <v>0.07</v>
      </c>
      <c r="K23" s="304">
        <v>0.07</v>
      </c>
      <c r="L23" s="304">
        <v>0.07</v>
      </c>
      <c r="M23" s="304">
        <v>0.07</v>
      </c>
      <c r="N23" s="304">
        <v>0.07</v>
      </c>
      <c r="O23" s="304">
        <v>0.07</v>
      </c>
      <c r="P23" s="304">
        <v>0.07</v>
      </c>
      <c r="Q23" s="304">
        <v>0.07</v>
      </c>
      <c r="R23" s="304">
        <v>0.07</v>
      </c>
      <c r="S23" s="304">
        <v>0.07</v>
      </c>
      <c r="T23" s="304">
        <v>0.07</v>
      </c>
      <c r="U23" s="304">
        <v>0.07</v>
      </c>
      <c r="V23" s="304">
        <v>0.07</v>
      </c>
      <c r="W23" s="304">
        <v>0.07</v>
      </c>
      <c r="X23" s="304">
        <v>0.07</v>
      </c>
      <c r="Y23" s="304">
        <v>0.07</v>
      </c>
      <c r="Z23" s="304">
        <v>0.07</v>
      </c>
      <c r="AA23" s="304">
        <v>0.07</v>
      </c>
      <c r="AB23" s="304">
        <v>0.07</v>
      </c>
      <c r="AC23" s="304">
        <v>0.07</v>
      </c>
      <c r="AD23" s="304">
        <v>0.07</v>
      </c>
      <c r="AE23" s="304">
        <v>0.07</v>
      </c>
      <c r="AF23" s="314">
        <v>0.07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23" s="66" customFormat="1" ht="21" customHeight="1">
      <c r="A24" s="62" t="s">
        <v>106</v>
      </c>
      <c r="B24" s="63"/>
      <c r="C24" s="64"/>
      <c r="D24" s="64"/>
      <c r="E24" s="64"/>
      <c r="F24" s="63"/>
      <c r="G24" s="63"/>
      <c r="H24" s="63"/>
      <c r="I24" s="63"/>
      <c r="J24" s="63"/>
      <c r="K24" s="64"/>
      <c r="L24" s="64"/>
      <c r="M24" s="64"/>
      <c r="N24" s="64"/>
      <c r="O24" s="64"/>
      <c r="P24" s="63"/>
      <c r="Q24" s="63"/>
      <c r="R24" s="63"/>
      <c r="S24" s="63"/>
      <c r="T24" s="63"/>
      <c r="U24" s="64"/>
      <c r="V24" s="64"/>
      <c r="W24" s="65"/>
    </row>
    <row r="25" spans="1:31" ht="48.75" customHeight="1">
      <c r="A25" s="330" t="s">
        <v>52</v>
      </c>
      <c r="B25" s="346"/>
      <c r="C25" s="34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4"/>
      <c r="X25" s="34"/>
      <c r="Y25" s="34"/>
      <c r="Z25" s="34"/>
      <c r="AA25" s="34"/>
      <c r="AB25" s="34"/>
      <c r="AC25" s="34"/>
      <c r="AD25" s="34"/>
      <c r="AE25" s="16"/>
    </row>
    <row r="26" spans="1:23" s="157" customFormat="1" ht="21" customHeight="1">
      <c r="A26" s="336" t="s">
        <v>246</v>
      </c>
      <c r="B26" s="345"/>
      <c r="C26" s="333"/>
      <c r="D26" s="155"/>
      <c r="E26" s="155"/>
      <c r="F26" s="154"/>
      <c r="G26" s="154"/>
      <c r="H26" s="154"/>
      <c r="I26" s="154"/>
      <c r="J26" s="154"/>
      <c r="K26" s="155"/>
      <c r="L26" s="155"/>
      <c r="M26" s="155"/>
      <c r="N26" s="155"/>
      <c r="O26" s="155"/>
      <c r="P26" s="154"/>
      <c r="Q26" s="154"/>
      <c r="R26" s="154"/>
      <c r="S26" s="154"/>
      <c r="T26" s="154"/>
      <c r="U26" s="155"/>
      <c r="V26" s="155"/>
      <c r="W26" s="156"/>
    </row>
    <row r="27" spans="1:55" ht="21" customHeight="1">
      <c r="A27" s="337" t="s">
        <v>95</v>
      </c>
      <c r="B27" s="19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ht="30" customHeight="1">
      <c r="A28" s="330" t="s">
        <v>86</v>
      </c>
      <c r="B28" s="334">
        <v>1.2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ht="34.5" customHeight="1">
      <c r="A29" s="330" t="s">
        <v>247</v>
      </c>
      <c r="B29" s="335">
        <v>0.464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ht="31.5" customHeight="1">
      <c r="A30" s="182" t="s">
        <v>240</v>
      </c>
      <c r="B30" s="309">
        <v>0.5</v>
      </c>
      <c r="C30" s="173">
        <v>1</v>
      </c>
      <c r="D30" s="173">
        <v>0.5</v>
      </c>
      <c r="E30" s="173">
        <v>0.5</v>
      </c>
      <c r="F30" s="173">
        <v>0.5</v>
      </c>
      <c r="G30" s="173">
        <v>0.5</v>
      </c>
      <c r="H30" s="173">
        <v>0.5</v>
      </c>
      <c r="I30" s="173">
        <v>0.5</v>
      </c>
      <c r="J30" s="173">
        <v>0.5</v>
      </c>
      <c r="K30" s="173">
        <v>0.5</v>
      </c>
      <c r="L30" s="173">
        <v>0.5</v>
      </c>
      <c r="M30" s="173">
        <v>0.5</v>
      </c>
      <c r="N30" s="173">
        <v>0.5</v>
      </c>
      <c r="O30" s="173">
        <v>0.5</v>
      </c>
      <c r="P30" s="173">
        <v>0.5</v>
      </c>
      <c r="Q30" s="173">
        <v>0.5</v>
      </c>
      <c r="R30" s="173">
        <v>0.5</v>
      </c>
      <c r="S30" s="173">
        <v>0.5</v>
      </c>
      <c r="T30" s="173">
        <v>0.5</v>
      </c>
      <c r="U30" s="173">
        <v>0.5</v>
      </c>
      <c r="V30" s="173">
        <v>0.5</v>
      </c>
      <c r="W30" s="173">
        <v>0.5</v>
      </c>
      <c r="X30" s="173">
        <v>0.5</v>
      </c>
      <c r="Y30" s="173">
        <v>0.5</v>
      </c>
      <c r="Z30" s="173">
        <v>0.5</v>
      </c>
      <c r="AA30" s="173">
        <v>0.5</v>
      </c>
      <c r="AB30" s="173">
        <v>0.5</v>
      </c>
      <c r="AC30" s="173">
        <v>0.5</v>
      </c>
      <c r="AD30" s="173">
        <v>0.5</v>
      </c>
      <c r="AE30" s="173">
        <v>0.5</v>
      </c>
      <c r="AF30" s="315">
        <v>0.5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ht="18.75" customHeight="1">
      <c r="A31" s="329" t="s">
        <v>96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ht="17.25" customHeight="1">
      <c r="A32" s="330" t="s">
        <v>58</v>
      </c>
      <c r="B32" s="191"/>
      <c r="C32" s="298">
        <v>0</v>
      </c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316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ht="63" customHeight="1">
      <c r="A33" s="20" t="s">
        <v>171</v>
      </c>
      <c r="B33" s="244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92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ht="33.75" customHeight="1">
      <c r="A34" s="20" t="s">
        <v>216</v>
      </c>
      <c r="B34" s="244"/>
      <c r="C34" s="174">
        <v>500</v>
      </c>
      <c r="D34" s="174">
        <v>500</v>
      </c>
      <c r="E34" s="174">
        <v>500</v>
      </c>
      <c r="F34" s="174">
        <v>500</v>
      </c>
      <c r="G34" s="174">
        <v>500</v>
      </c>
      <c r="H34" s="174">
        <v>500</v>
      </c>
      <c r="I34" s="174">
        <v>500</v>
      </c>
      <c r="J34" s="174">
        <v>500</v>
      </c>
      <c r="K34" s="174">
        <v>500</v>
      </c>
      <c r="L34" s="174">
        <v>500</v>
      </c>
      <c r="M34" s="174">
        <v>500</v>
      </c>
      <c r="N34" s="174">
        <v>500</v>
      </c>
      <c r="O34" s="174">
        <v>500</v>
      </c>
      <c r="P34" s="174">
        <v>500</v>
      </c>
      <c r="Q34" s="174">
        <v>500</v>
      </c>
      <c r="R34" s="174">
        <v>500</v>
      </c>
      <c r="S34" s="174">
        <v>500</v>
      </c>
      <c r="T34" s="174">
        <v>500</v>
      </c>
      <c r="U34" s="174">
        <v>500</v>
      </c>
      <c r="V34" s="174">
        <v>500</v>
      </c>
      <c r="W34" s="174">
        <v>500</v>
      </c>
      <c r="X34" s="174">
        <v>500</v>
      </c>
      <c r="Y34" s="174">
        <v>500</v>
      </c>
      <c r="Z34" s="174">
        <v>500</v>
      </c>
      <c r="AA34" s="174">
        <v>500</v>
      </c>
      <c r="AB34" s="174">
        <v>500</v>
      </c>
      <c r="AC34" s="174">
        <v>500</v>
      </c>
      <c r="AD34" s="174">
        <v>500</v>
      </c>
      <c r="AE34" s="174">
        <v>500</v>
      </c>
      <c r="AF34" s="286">
        <v>500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32" ht="120">
      <c r="A35" s="330" t="s">
        <v>170</v>
      </c>
      <c r="B35" s="180"/>
      <c r="C35" s="310">
        <v>223.5</v>
      </c>
      <c r="D35" s="310">
        <v>223.5</v>
      </c>
      <c r="E35" s="310">
        <v>223.5</v>
      </c>
      <c r="F35" s="310">
        <v>223.5</v>
      </c>
      <c r="G35" s="310">
        <v>223.5</v>
      </c>
      <c r="H35" s="310">
        <v>223.5</v>
      </c>
      <c r="I35" s="310">
        <v>223.5</v>
      </c>
      <c r="J35" s="310">
        <v>223.5</v>
      </c>
      <c r="K35" s="310">
        <v>223.5</v>
      </c>
      <c r="L35" s="310">
        <v>223.5</v>
      </c>
      <c r="M35" s="310">
        <v>223.5</v>
      </c>
      <c r="N35" s="310">
        <v>223.5</v>
      </c>
      <c r="O35" s="310">
        <v>223.5</v>
      </c>
      <c r="P35" s="310">
        <v>223.5</v>
      </c>
      <c r="Q35" s="310">
        <v>223.5</v>
      </c>
      <c r="R35" s="310">
        <v>223.5</v>
      </c>
      <c r="S35" s="310">
        <v>223.5</v>
      </c>
      <c r="T35" s="310">
        <v>223.5</v>
      </c>
      <c r="U35" s="310">
        <v>223.5</v>
      </c>
      <c r="V35" s="310">
        <v>223.5</v>
      </c>
      <c r="W35" s="310">
        <v>223.5</v>
      </c>
      <c r="X35" s="310">
        <v>223.5</v>
      </c>
      <c r="Y35" s="310">
        <v>223.5</v>
      </c>
      <c r="Z35" s="310">
        <v>223.5</v>
      </c>
      <c r="AA35" s="310">
        <v>223.5</v>
      </c>
      <c r="AB35" s="310">
        <v>223.5</v>
      </c>
      <c r="AC35" s="310">
        <v>223.5</v>
      </c>
      <c r="AD35" s="310">
        <v>223.5</v>
      </c>
      <c r="AE35" s="310">
        <v>223.5</v>
      </c>
      <c r="AF35" s="317">
        <v>223.5</v>
      </c>
    </row>
    <row r="36" spans="1:31" ht="15">
      <c r="A36" s="329" t="s">
        <v>65</v>
      </c>
      <c r="B36" s="18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4"/>
      <c r="Z36" s="16"/>
      <c r="AE36" s="16"/>
    </row>
    <row r="37" spans="1:31" ht="45">
      <c r="A37" s="330" t="s">
        <v>153</v>
      </c>
      <c r="B37" s="325">
        <v>0.5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4"/>
      <c r="Z37" s="16"/>
      <c r="AE37" s="16"/>
    </row>
    <row r="38" spans="1:32" ht="30">
      <c r="A38" s="330" t="s">
        <v>126</v>
      </c>
      <c r="B38" s="180"/>
      <c r="C38" s="264">
        <v>0.5</v>
      </c>
      <c r="D38" s="264">
        <v>0.2</v>
      </c>
      <c r="E38" s="264">
        <v>0.3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64">
        <v>0</v>
      </c>
      <c r="O38" s="264">
        <v>0</v>
      </c>
      <c r="P38" s="264">
        <v>0</v>
      </c>
      <c r="Q38" s="264">
        <v>0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0</v>
      </c>
      <c r="Z38" s="264">
        <v>0</v>
      </c>
      <c r="AA38" s="264">
        <v>0</v>
      </c>
      <c r="AB38" s="264">
        <v>0</v>
      </c>
      <c r="AC38" s="264">
        <v>0</v>
      </c>
      <c r="AD38" s="264">
        <v>0</v>
      </c>
      <c r="AE38" s="264">
        <v>0</v>
      </c>
      <c r="AF38" s="285">
        <v>0</v>
      </c>
    </row>
    <row r="39" spans="1:32" ht="80.25" customHeight="1">
      <c r="A39" s="330" t="s">
        <v>128</v>
      </c>
      <c r="B39" s="180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85"/>
    </row>
    <row r="40" spans="1:32" ht="30">
      <c r="A40" s="330" t="s">
        <v>130</v>
      </c>
      <c r="B40" s="180"/>
      <c r="C40" s="273">
        <v>100</v>
      </c>
      <c r="D40" s="273"/>
      <c r="E40" s="273"/>
      <c r="F40" s="273"/>
      <c r="G40" s="273"/>
      <c r="H40" s="273"/>
      <c r="I40" s="273"/>
      <c r="J40" s="273"/>
      <c r="K40" s="273"/>
      <c r="L40" s="273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318"/>
    </row>
    <row r="41" spans="1:32" s="54" customFormat="1" ht="45">
      <c r="A41" s="330" t="s">
        <v>137</v>
      </c>
      <c r="B41" s="180"/>
      <c r="C41" s="273">
        <v>50.4</v>
      </c>
      <c r="D41" s="273">
        <v>50.4</v>
      </c>
      <c r="E41" s="273">
        <v>50.4</v>
      </c>
      <c r="F41" s="273">
        <v>50.4</v>
      </c>
      <c r="G41" s="273">
        <v>50.4</v>
      </c>
      <c r="H41" s="273">
        <v>50.4</v>
      </c>
      <c r="I41" s="273">
        <v>50.4</v>
      </c>
      <c r="J41" s="273">
        <v>50.4</v>
      </c>
      <c r="K41" s="273">
        <v>50.4</v>
      </c>
      <c r="L41" s="273">
        <v>50.4</v>
      </c>
      <c r="M41" s="273">
        <v>50.4</v>
      </c>
      <c r="N41" s="273">
        <v>50.4</v>
      </c>
      <c r="O41" s="273">
        <v>50.4</v>
      </c>
      <c r="P41" s="273">
        <v>50.4</v>
      </c>
      <c r="Q41" s="273">
        <v>50.4</v>
      </c>
      <c r="R41" s="273">
        <v>50.4</v>
      </c>
      <c r="S41" s="273">
        <v>50.4</v>
      </c>
      <c r="T41" s="273">
        <v>50.4</v>
      </c>
      <c r="U41" s="273">
        <v>50.4</v>
      </c>
      <c r="V41" s="273">
        <v>50.4</v>
      </c>
      <c r="W41" s="273">
        <v>50.4</v>
      </c>
      <c r="X41" s="273">
        <v>50.4</v>
      </c>
      <c r="Y41" s="273">
        <v>50.4</v>
      </c>
      <c r="Z41" s="273">
        <v>50.4</v>
      </c>
      <c r="AA41" s="273">
        <v>50.4</v>
      </c>
      <c r="AB41" s="273">
        <v>50.4</v>
      </c>
      <c r="AC41" s="273">
        <v>50.4</v>
      </c>
      <c r="AD41" s="273">
        <v>50.4</v>
      </c>
      <c r="AE41" s="273">
        <v>50.4</v>
      </c>
      <c r="AF41" s="291">
        <v>50.4</v>
      </c>
    </row>
    <row r="42" spans="1:32" ht="45">
      <c r="A42" s="331" t="s">
        <v>150</v>
      </c>
      <c r="B42" s="326">
        <v>30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47"/>
      <c r="X42" s="200"/>
      <c r="Y42" s="200"/>
      <c r="Z42" s="200"/>
      <c r="AA42" s="200"/>
      <c r="AB42" s="200"/>
      <c r="AC42" s="200"/>
      <c r="AD42" s="200"/>
      <c r="AE42" s="200"/>
      <c r="AF42" s="200"/>
    </row>
    <row r="43" spans="1:55" ht="18.75" customHeight="1">
      <c r="A43" s="332" t="s">
        <v>64</v>
      </c>
      <c r="B43" s="327">
        <v>1500</v>
      </c>
      <c r="C43" s="181"/>
      <c r="D43" s="181"/>
      <c r="E43" s="181"/>
      <c r="F43" s="180"/>
      <c r="G43" s="180"/>
      <c r="H43" s="180"/>
      <c r="I43" s="180"/>
      <c r="J43" s="180"/>
      <c r="K43" s="181"/>
      <c r="L43" s="181"/>
      <c r="M43" s="181"/>
      <c r="N43" s="181"/>
      <c r="O43" s="181"/>
      <c r="P43" s="180"/>
      <c r="Q43" s="180"/>
      <c r="R43" s="180"/>
      <c r="S43" s="180"/>
      <c r="T43" s="180"/>
      <c r="U43" s="181"/>
      <c r="V43" s="181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1:55" ht="30" customHeight="1">
      <c r="A44" s="330" t="s">
        <v>84</v>
      </c>
      <c r="B44" s="328">
        <v>115</v>
      </c>
      <c r="C44" s="298">
        <v>117.4</v>
      </c>
      <c r="D44" s="298">
        <v>117.4</v>
      </c>
      <c r="E44" s="298">
        <v>117.4</v>
      </c>
      <c r="F44" s="298">
        <v>117.4</v>
      </c>
      <c r="G44" s="298">
        <v>121.5</v>
      </c>
      <c r="H44" s="298">
        <v>125.8</v>
      </c>
      <c r="I44" s="298">
        <v>130.3</v>
      </c>
      <c r="J44" s="298">
        <v>134.9</v>
      </c>
      <c r="K44" s="298">
        <v>139.7</v>
      </c>
      <c r="L44" s="298">
        <v>144.7</v>
      </c>
      <c r="M44" s="298">
        <v>149.8</v>
      </c>
      <c r="N44" s="298">
        <v>149.8</v>
      </c>
      <c r="O44" s="298">
        <v>149.8</v>
      </c>
      <c r="P44" s="298">
        <v>149.8</v>
      </c>
      <c r="Q44" s="298">
        <v>149.8</v>
      </c>
      <c r="R44" s="298">
        <v>149.8</v>
      </c>
      <c r="S44" s="298">
        <v>149.8</v>
      </c>
      <c r="T44" s="298">
        <v>149.8</v>
      </c>
      <c r="U44" s="298">
        <v>149.8</v>
      </c>
      <c r="V44" s="298">
        <v>149.8</v>
      </c>
      <c r="W44" s="298">
        <v>149.8</v>
      </c>
      <c r="X44" s="298">
        <v>149.8</v>
      </c>
      <c r="Y44" s="298">
        <v>149.8</v>
      </c>
      <c r="Z44" s="298">
        <v>149.8</v>
      </c>
      <c r="AA44" s="298">
        <v>149.8</v>
      </c>
      <c r="AB44" s="298">
        <v>149.8</v>
      </c>
      <c r="AC44" s="298">
        <v>149.8</v>
      </c>
      <c r="AD44" s="298">
        <v>149.8</v>
      </c>
      <c r="AE44" s="298">
        <v>149.8</v>
      </c>
      <c r="AF44" s="316">
        <v>149.8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</row>
    <row r="45" spans="1:23" s="66" customFormat="1" ht="21" customHeight="1">
      <c r="A45" s="62" t="s">
        <v>88</v>
      </c>
      <c r="B45" s="63"/>
      <c r="C45" s="64"/>
      <c r="D45" s="64"/>
      <c r="E45" s="64"/>
      <c r="F45" s="63"/>
      <c r="G45" s="63"/>
      <c r="H45" s="63"/>
      <c r="I45" s="63"/>
      <c r="J45" s="63"/>
      <c r="K45" s="64"/>
      <c r="L45" s="64"/>
      <c r="M45" s="64"/>
      <c r="N45" s="64"/>
      <c r="O45" s="64"/>
      <c r="P45" s="63"/>
      <c r="Q45" s="63"/>
      <c r="R45" s="63"/>
      <c r="S45" s="63"/>
      <c r="T45" s="63"/>
      <c r="U45" s="64"/>
      <c r="V45" s="64"/>
      <c r="W45" s="65"/>
    </row>
    <row r="46" spans="1:32" ht="45" customHeight="1">
      <c r="A46" s="330" t="s">
        <v>52</v>
      </c>
      <c r="B46" s="186"/>
      <c r="C46" s="26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2"/>
      <c r="X46" s="122"/>
      <c r="Y46" s="122"/>
      <c r="Z46" s="122"/>
      <c r="AA46" s="122"/>
      <c r="AB46" s="122"/>
      <c r="AC46" s="122"/>
      <c r="AD46" s="122"/>
      <c r="AE46" s="92"/>
      <c r="AF46" s="92"/>
    </row>
    <row r="47" spans="1:55" ht="14.25" customHeight="1">
      <c r="A47" s="337" t="s">
        <v>95</v>
      </c>
      <c r="B47" s="244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</row>
    <row r="48" spans="1:55" ht="66.75" customHeight="1">
      <c r="A48" s="99" t="s">
        <v>248</v>
      </c>
      <c r="B48" s="307">
        <v>1.5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spans="1:55" ht="59.25" customHeight="1">
      <c r="A49" s="99" t="s">
        <v>249</v>
      </c>
      <c r="B49" s="307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1:55" ht="44.25" customHeight="1">
      <c r="A50" s="99" t="s">
        <v>250</v>
      </c>
      <c r="B50" s="308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ht="33.75" customHeight="1">
      <c r="A51" s="182" t="s">
        <v>241</v>
      </c>
      <c r="B51" s="309"/>
      <c r="C51" s="173">
        <v>0.5</v>
      </c>
      <c r="D51" s="173">
        <v>0.5</v>
      </c>
      <c r="E51" s="173">
        <v>0.5</v>
      </c>
      <c r="F51" s="173">
        <v>0.5</v>
      </c>
      <c r="G51" s="173">
        <v>0.5</v>
      </c>
      <c r="H51" s="173">
        <v>0.5</v>
      </c>
      <c r="I51" s="173">
        <v>0.5</v>
      </c>
      <c r="J51" s="173">
        <v>0.5</v>
      </c>
      <c r="K51" s="173">
        <v>0.5</v>
      </c>
      <c r="L51" s="173">
        <v>0.5</v>
      </c>
      <c r="M51" s="173">
        <v>0.5</v>
      </c>
      <c r="N51" s="173">
        <v>0.5</v>
      </c>
      <c r="O51" s="173">
        <v>0.5</v>
      </c>
      <c r="P51" s="173">
        <v>0.5</v>
      </c>
      <c r="Q51" s="173">
        <v>0.5</v>
      </c>
      <c r="R51" s="173">
        <v>0.5</v>
      </c>
      <c r="S51" s="173">
        <v>0.5</v>
      </c>
      <c r="T51" s="173">
        <v>0.5</v>
      </c>
      <c r="U51" s="173">
        <v>0.5</v>
      </c>
      <c r="V51" s="173">
        <v>0.5</v>
      </c>
      <c r="W51" s="173">
        <v>0.5</v>
      </c>
      <c r="X51" s="173">
        <v>0.5</v>
      </c>
      <c r="Y51" s="173">
        <v>0.5</v>
      </c>
      <c r="Z51" s="173">
        <v>0.5</v>
      </c>
      <c r="AA51" s="173">
        <v>0.5</v>
      </c>
      <c r="AB51" s="173">
        <v>0.5</v>
      </c>
      <c r="AC51" s="173">
        <v>0.5</v>
      </c>
      <c r="AD51" s="173">
        <v>0.5</v>
      </c>
      <c r="AE51" s="173">
        <v>0.5</v>
      </c>
      <c r="AF51" s="173">
        <v>0.5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1:55" ht="18" customHeight="1">
      <c r="A52" s="329" t="s">
        <v>96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</row>
    <row r="53" spans="1:55" ht="17.25" customHeight="1">
      <c r="A53" s="330" t="s">
        <v>58</v>
      </c>
      <c r="B53" s="244"/>
      <c r="C53" s="267">
        <v>10</v>
      </c>
      <c r="D53" s="267">
        <v>10</v>
      </c>
      <c r="E53" s="267">
        <v>10</v>
      </c>
      <c r="F53" s="267">
        <v>10</v>
      </c>
      <c r="G53" s="267">
        <v>10</v>
      </c>
      <c r="H53" s="267">
        <v>10</v>
      </c>
      <c r="I53" s="267">
        <v>10</v>
      </c>
      <c r="J53" s="267">
        <v>10</v>
      </c>
      <c r="K53" s="267">
        <v>10</v>
      </c>
      <c r="L53" s="267">
        <v>10</v>
      </c>
      <c r="M53" s="267">
        <v>10</v>
      </c>
      <c r="N53" s="267">
        <v>10</v>
      </c>
      <c r="O53" s="267">
        <v>10</v>
      </c>
      <c r="P53" s="267">
        <v>10</v>
      </c>
      <c r="Q53" s="267">
        <v>10</v>
      </c>
      <c r="R53" s="267">
        <v>10</v>
      </c>
      <c r="S53" s="267">
        <v>10</v>
      </c>
      <c r="T53" s="267">
        <v>10</v>
      </c>
      <c r="U53" s="267">
        <v>10</v>
      </c>
      <c r="V53" s="267">
        <v>10</v>
      </c>
      <c r="W53" s="267">
        <v>10</v>
      </c>
      <c r="X53" s="267">
        <v>10</v>
      </c>
      <c r="Y53" s="267">
        <v>10</v>
      </c>
      <c r="Z53" s="267">
        <v>10</v>
      </c>
      <c r="AA53" s="267">
        <v>10</v>
      </c>
      <c r="AB53" s="267">
        <v>10</v>
      </c>
      <c r="AC53" s="267">
        <v>10</v>
      </c>
      <c r="AD53" s="267">
        <v>10</v>
      </c>
      <c r="AE53" s="267">
        <v>10</v>
      </c>
      <c r="AF53" s="267">
        <v>10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</row>
    <row r="54" spans="1:55" ht="60.75" customHeight="1">
      <c r="A54" s="20" t="s">
        <v>171</v>
      </c>
      <c r="B54" s="244"/>
      <c r="C54" s="267">
        <v>20</v>
      </c>
      <c r="D54" s="267">
        <v>20</v>
      </c>
      <c r="E54" s="267">
        <v>20</v>
      </c>
      <c r="F54" s="267">
        <v>20</v>
      </c>
      <c r="G54" s="267">
        <v>20</v>
      </c>
      <c r="H54" s="267">
        <v>20</v>
      </c>
      <c r="I54" s="267">
        <v>20</v>
      </c>
      <c r="J54" s="267">
        <v>20</v>
      </c>
      <c r="K54" s="267">
        <v>20</v>
      </c>
      <c r="L54" s="267">
        <v>20</v>
      </c>
      <c r="M54" s="267">
        <v>20</v>
      </c>
      <c r="N54" s="267">
        <v>20</v>
      </c>
      <c r="O54" s="267">
        <v>20</v>
      </c>
      <c r="P54" s="267">
        <v>20</v>
      </c>
      <c r="Q54" s="267">
        <v>20</v>
      </c>
      <c r="R54" s="267">
        <v>20</v>
      </c>
      <c r="S54" s="267">
        <v>20</v>
      </c>
      <c r="T54" s="267">
        <v>20</v>
      </c>
      <c r="U54" s="267">
        <v>20</v>
      </c>
      <c r="V54" s="267">
        <v>20</v>
      </c>
      <c r="W54" s="267">
        <v>20</v>
      </c>
      <c r="X54" s="267">
        <v>20</v>
      </c>
      <c r="Y54" s="267">
        <v>20</v>
      </c>
      <c r="Z54" s="267">
        <v>20</v>
      </c>
      <c r="AA54" s="267">
        <v>20</v>
      </c>
      <c r="AB54" s="267">
        <v>20</v>
      </c>
      <c r="AC54" s="267">
        <v>20</v>
      </c>
      <c r="AD54" s="267">
        <v>20</v>
      </c>
      <c r="AE54" s="267">
        <v>20</v>
      </c>
      <c r="AF54" s="267">
        <v>20</v>
      </c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55" ht="33.75" customHeight="1">
      <c r="A55" s="20" t="s">
        <v>216</v>
      </c>
      <c r="B55" s="244"/>
      <c r="C55" s="174">
        <v>500</v>
      </c>
      <c r="D55" s="174">
        <v>500</v>
      </c>
      <c r="E55" s="174">
        <v>500</v>
      </c>
      <c r="F55" s="174">
        <v>500</v>
      </c>
      <c r="G55" s="174">
        <v>500</v>
      </c>
      <c r="H55" s="174">
        <v>500</v>
      </c>
      <c r="I55" s="174">
        <v>500</v>
      </c>
      <c r="J55" s="174">
        <v>500</v>
      </c>
      <c r="K55" s="174">
        <v>500</v>
      </c>
      <c r="L55" s="174">
        <v>500</v>
      </c>
      <c r="M55" s="174">
        <v>500</v>
      </c>
      <c r="N55" s="174">
        <v>500</v>
      </c>
      <c r="O55" s="174">
        <v>500</v>
      </c>
      <c r="P55" s="174">
        <v>500</v>
      </c>
      <c r="Q55" s="174">
        <v>500</v>
      </c>
      <c r="R55" s="174">
        <v>500</v>
      </c>
      <c r="S55" s="174">
        <v>500</v>
      </c>
      <c r="T55" s="174">
        <v>500</v>
      </c>
      <c r="U55" s="174">
        <v>500</v>
      </c>
      <c r="V55" s="174">
        <v>500</v>
      </c>
      <c r="W55" s="174">
        <v>500</v>
      </c>
      <c r="X55" s="174">
        <v>500</v>
      </c>
      <c r="Y55" s="174">
        <v>500</v>
      </c>
      <c r="Z55" s="174">
        <v>500</v>
      </c>
      <c r="AA55" s="174">
        <v>500</v>
      </c>
      <c r="AB55" s="174">
        <v>500</v>
      </c>
      <c r="AC55" s="174">
        <v>500</v>
      </c>
      <c r="AD55" s="174">
        <v>500</v>
      </c>
      <c r="AE55" s="174">
        <v>500</v>
      </c>
      <c r="AF55" s="286">
        <v>500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32" ht="120">
      <c r="A56" s="330" t="s">
        <v>170</v>
      </c>
      <c r="B56" s="186"/>
      <c r="C56" s="273">
        <v>20</v>
      </c>
      <c r="D56" s="273">
        <v>20</v>
      </c>
      <c r="E56" s="273">
        <v>20</v>
      </c>
      <c r="F56" s="273">
        <v>20</v>
      </c>
      <c r="G56" s="273">
        <v>20</v>
      </c>
      <c r="H56" s="273">
        <v>20</v>
      </c>
      <c r="I56" s="273">
        <v>20</v>
      </c>
      <c r="J56" s="273">
        <v>20</v>
      </c>
      <c r="K56" s="273">
        <v>20</v>
      </c>
      <c r="L56" s="273">
        <v>20</v>
      </c>
      <c r="M56" s="273">
        <v>20</v>
      </c>
      <c r="N56" s="273">
        <v>20</v>
      </c>
      <c r="O56" s="273">
        <v>20</v>
      </c>
      <c r="P56" s="273">
        <v>20</v>
      </c>
      <c r="Q56" s="273">
        <v>20</v>
      </c>
      <c r="R56" s="273">
        <v>20</v>
      </c>
      <c r="S56" s="273">
        <v>20</v>
      </c>
      <c r="T56" s="273">
        <v>20</v>
      </c>
      <c r="U56" s="273">
        <v>20</v>
      </c>
      <c r="V56" s="273">
        <v>20</v>
      </c>
      <c r="W56" s="273">
        <v>20</v>
      </c>
      <c r="X56" s="273">
        <v>20</v>
      </c>
      <c r="Y56" s="273">
        <v>20</v>
      </c>
      <c r="Z56" s="273">
        <v>20</v>
      </c>
      <c r="AA56" s="273">
        <v>20</v>
      </c>
      <c r="AB56" s="273">
        <v>20</v>
      </c>
      <c r="AC56" s="273">
        <v>20</v>
      </c>
      <c r="AD56" s="273">
        <v>20</v>
      </c>
      <c r="AE56" s="273">
        <v>20</v>
      </c>
      <c r="AF56" s="273">
        <v>20</v>
      </c>
    </row>
    <row r="57" spans="1:32" ht="15">
      <c r="A57" s="329" t="s">
        <v>65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251"/>
      <c r="X57" s="188"/>
      <c r="Y57" s="188"/>
      <c r="Z57" s="188"/>
      <c r="AA57" s="188"/>
      <c r="AB57" s="188"/>
      <c r="AC57" s="188"/>
      <c r="AD57" s="188"/>
      <c r="AE57" s="188"/>
      <c r="AF57" s="188"/>
    </row>
    <row r="58" spans="1:32" ht="32.25" customHeight="1">
      <c r="A58" s="330" t="s">
        <v>131</v>
      </c>
      <c r="B58" s="186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9"/>
    </row>
    <row r="59" spans="1:32" s="54" customFormat="1" ht="45">
      <c r="A59" s="330" t="s">
        <v>137</v>
      </c>
      <c r="B59" s="186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</row>
    <row r="60" spans="1:32" ht="45">
      <c r="A60" s="330" t="s">
        <v>150</v>
      </c>
      <c r="B60" s="339">
        <v>30</v>
      </c>
      <c r="C60" s="186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122"/>
      <c r="X60" s="92"/>
      <c r="Y60" s="92"/>
      <c r="Z60" s="92"/>
      <c r="AA60" s="92"/>
      <c r="AB60" s="92"/>
      <c r="AC60" s="92"/>
      <c r="AD60" s="92"/>
      <c r="AE60" s="92"/>
      <c r="AF60" s="92"/>
    </row>
    <row r="61" spans="1:32" ht="45">
      <c r="A61" s="99" t="s">
        <v>253</v>
      </c>
      <c r="B61" s="343"/>
      <c r="C61" s="348">
        <v>0.5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22"/>
      <c r="X61" s="92"/>
      <c r="Y61" s="92"/>
      <c r="Z61" s="92"/>
      <c r="AA61" s="92"/>
      <c r="AB61" s="92"/>
      <c r="AC61" s="92"/>
      <c r="AD61" s="92"/>
      <c r="AE61" s="92"/>
      <c r="AF61" s="92"/>
    </row>
    <row r="62" spans="1:34" ht="45">
      <c r="A62" s="99" t="s">
        <v>252</v>
      </c>
      <c r="B62" s="312">
        <v>1</v>
      </c>
      <c r="C62" s="273">
        <v>1</v>
      </c>
      <c r="D62" s="273">
        <v>1</v>
      </c>
      <c r="E62" s="273">
        <v>1</v>
      </c>
      <c r="F62" s="273">
        <v>1</v>
      </c>
      <c r="G62" s="273">
        <v>1</v>
      </c>
      <c r="H62" s="273">
        <v>1</v>
      </c>
      <c r="I62" s="273">
        <v>1</v>
      </c>
      <c r="J62" s="273">
        <v>1</v>
      </c>
      <c r="K62" s="273">
        <v>1</v>
      </c>
      <c r="L62" s="273">
        <v>1</v>
      </c>
      <c r="M62" s="273">
        <v>1</v>
      </c>
      <c r="N62" s="273">
        <v>1</v>
      </c>
      <c r="O62" s="273">
        <v>1</v>
      </c>
      <c r="P62" s="273">
        <v>1</v>
      </c>
      <c r="Q62" s="273">
        <v>1</v>
      </c>
      <c r="R62" s="273">
        <v>1</v>
      </c>
      <c r="S62" s="273">
        <v>1</v>
      </c>
      <c r="T62" s="273">
        <v>1</v>
      </c>
      <c r="U62" s="273">
        <v>1</v>
      </c>
      <c r="V62" s="273">
        <v>1</v>
      </c>
      <c r="W62" s="273">
        <v>1</v>
      </c>
      <c r="X62" s="273">
        <v>1</v>
      </c>
      <c r="Y62" s="273">
        <v>1</v>
      </c>
      <c r="Z62" s="273">
        <v>1</v>
      </c>
      <c r="AA62" s="273">
        <v>1</v>
      </c>
      <c r="AB62" s="273">
        <v>1</v>
      </c>
      <c r="AC62" s="273">
        <v>1</v>
      </c>
      <c r="AD62" s="273">
        <v>1</v>
      </c>
      <c r="AE62" s="273">
        <v>1</v>
      </c>
      <c r="AF62" s="273">
        <v>1</v>
      </c>
      <c r="AG62" s="26"/>
      <c r="AH62" s="26"/>
    </row>
    <row r="63" spans="1:34" ht="30">
      <c r="A63" s="99" t="s">
        <v>251</v>
      </c>
      <c r="B63" s="312">
        <v>1</v>
      </c>
      <c r="C63" s="273">
        <v>2</v>
      </c>
      <c r="D63" s="273">
        <v>3</v>
      </c>
      <c r="E63" s="273">
        <v>3</v>
      </c>
      <c r="F63" s="273">
        <v>3</v>
      </c>
      <c r="G63" s="273">
        <v>3</v>
      </c>
      <c r="H63" s="273">
        <v>3</v>
      </c>
      <c r="I63" s="273">
        <v>3</v>
      </c>
      <c r="J63" s="273">
        <v>3</v>
      </c>
      <c r="K63" s="273">
        <v>3</v>
      </c>
      <c r="L63" s="273">
        <v>3</v>
      </c>
      <c r="M63" s="273">
        <v>3</v>
      </c>
      <c r="N63" s="273">
        <v>3</v>
      </c>
      <c r="O63" s="273">
        <v>3</v>
      </c>
      <c r="P63" s="273">
        <v>3</v>
      </c>
      <c r="Q63" s="273">
        <v>3</v>
      </c>
      <c r="R63" s="273">
        <v>3</v>
      </c>
      <c r="S63" s="273">
        <v>3</v>
      </c>
      <c r="T63" s="273">
        <v>3</v>
      </c>
      <c r="U63" s="273">
        <v>3</v>
      </c>
      <c r="V63" s="273">
        <v>3</v>
      </c>
      <c r="W63" s="273">
        <v>3</v>
      </c>
      <c r="X63" s="273">
        <v>3</v>
      </c>
      <c r="Y63" s="273">
        <v>3</v>
      </c>
      <c r="Z63" s="273">
        <v>3</v>
      </c>
      <c r="AA63" s="273">
        <v>3</v>
      </c>
      <c r="AB63" s="273">
        <v>3</v>
      </c>
      <c r="AC63" s="273">
        <v>3</v>
      </c>
      <c r="AD63" s="273">
        <v>3</v>
      </c>
      <c r="AE63" s="273">
        <v>3</v>
      </c>
      <c r="AF63" s="273">
        <v>3</v>
      </c>
      <c r="AG63" s="26"/>
      <c r="AH63" s="26"/>
    </row>
    <row r="64" spans="1:55" ht="15.75" customHeight="1">
      <c r="A64" s="212" t="s">
        <v>64</v>
      </c>
      <c r="B64" s="269">
        <v>500</v>
      </c>
      <c r="C64" s="302"/>
      <c r="D64" s="302"/>
      <c r="E64" s="302"/>
      <c r="F64" s="186"/>
      <c r="G64" s="186"/>
      <c r="H64" s="186"/>
      <c r="I64" s="186"/>
      <c r="J64" s="186"/>
      <c r="K64" s="302"/>
      <c r="L64" s="302"/>
      <c r="M64" s="302"/>
      <c r="N64" s="302"/>
      <c r="O64" s="302"/>
      <c r="P64" s="186"/>
      <c r="Q64" s="186"/>
      <c r="R64" s="186"/>
      <c r="S64" s="186"/>
      <c r="T64" s="186"/>
      <c r="U64" s="302"/>
      <c r="V64" s="302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ht="33" customHeight="1">
      <c r="A65" s="99" t="s">
        <v>113</v>
      </c>
      <c r="B65" s="267">
        <v>100</v>
      </c>
      <c r="C65" s="267">
        <v>100</v>
      </c>
      <c r="D65" s="267">
        <v>100</v>
      </c>
      <c r="E65" s="267">
        <v>100</v>
      </c>
      <c r="F65" s="267">
        <v>100</v>
      </c>
      <c r="G65" s="267">
        <v>100</v>
      </c>
      <c r="H65" s="267">
        <v>100</v>
      </c>
      <c r="I65" s="267">
        <v>100</v>
      </c>
      <c r="J65" s="267">
        <v>100</v>
      </c>
      <c r="K65" s="267">
        <v>100</v>
      </c>
      <c r="L65" s="267">
        <v>100</v>
      </c>
      <c r="M65" s="267">
        <v>100</v>
      </c>
      <c r="N65" s="267">
        <v>100</v>
      </c>
      <c r="O65" s="267">
        <v>100</v>
      </c>
      <c r="P65" s="267">
        <v>100</v>
      </c>
      <c r="Q65" s="267">
        <v>100</v>
      </c>
      <c r="R65" s="267">
        <v>100</v>
      </c>
      <c r="S65" s="267">
        <v>100</v>
      </c>
      <c r="T65" s="267">
        <v>100</v>
      </c>
      <c r="U65" s="267">
        <v>100</v>
      </c>
      <c r="V65" s="267">
        <v>100</v>
      </c>
      <c r="W65" s="267">
        <v>100</v>
      </c>
      <c r="X65" s="267">
        <v>100</v>
      </c>
      <c r="Y65" s="267">
        <v>100</v>
      </c>
      <c r="Z65" s="267">
        <v>100</v>
      </c>
      <c r="AA65" s="267">
        <v>100</v>
      </c>
      <c r="AB65" s="267">
        <v>100</v>
      </c>
      <c r="AC65" s="267">
        <v>100</v>
      </c>
      <c r="AD65" s="267">
        <v>100</v>
      </c>
      <c r="AE65" s="267">
        <v>100</v>
      </c>
      <c r="AF65" s="292">
        <v>100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32" s="66" customFormat="1" ht="21" customHeight="1">
      <c r="A66" s="62" t="s">
        <v>87</v>
      </c>
      <c r="B66" s="126"/>
      <c r="C66" s="127"/>
      <c r="D66" s="127"/>
      <c r="E66" s="127"/>
      <c r="F66" s="126"/>
      <c r="G66" s="126"/>
      <c r="H66" s="126"/>
      <c r="I66" s="126"/>
      <c r="J66" s="126"/>
      <c r="K66" s="127"/>
      <c r="L66" s="127"/>
      <c r="M66" s="127"/>
      <c r="N66" s="127"/>
      <c r="O66" s="127"/>
      <c r="P66" s="126"/>
      <c r="Q66" s="126"/>
      <c r="R66" s="126"/>
      <c r="S66" s="126"/>
      <c r="T66" s="126"/>
      <c r="U66" s="127"/>
      <c r="V66" s="127"/>
      <c r="W66" s="128"/>
      <c r="X66" s="129"/>
      <c r="Y66" s="129"/>
      <c r="Z66" s="129"/>
      <c r="AA66" s="129"/>
      <c r="AB66" s="129"/>
      <c r="AC66" s="129"/>
      <c r="AD66" s="129"/>
      <c r="AE66" s="129"/>
      <c r="AF66" s="129"/>
    </row>
    <row r="67" spans="1:32" ht="47.25" customHeight="1">
      <c r="A67" s="330" t="s">
        <v>52</v>
      </c>
      <c r="B67" s="347"/>
      <c r="C67" s="26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2"/>
      <c r="X67" s="122"/>
      <c r="Y67" s="122"/>
      <c r="Z67" s="122"/>
      <c r="AA67" s="122"/>
      <c r="AB67" s="122"/>
      <c r="AC67" s="122"/>
      <c r="AD67" s="122"/>
      <c r="AE67" s="92"/>
      <c r="AF67" s="92"/>
    </row>
    <row r="68" spans="1:32" ht="18" customHeight="1">
      <c r="A68" s="20" t="s">
        <v>246</v>
      </c>
      <c r="B68" s="343"/>
      <c r="C68" s="333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2"/>
      <c r="X68" s="122"/>
      <c r="Y68" s="122"/>
      <c r="Z68" s="122"/>
      <c r="AA68" s="122"/>
      <c r="AB68" s="122"/>
      <c r="AC68" s="122"/>
      <c r="AD68" s="122"/>
      <c r="AE68" s="92"/>
      <c r="AF68" s="92"/>
    </row>
    <row r="69" spans="1:55" ht="21" customHeight="1">
      <c r="A69" s="337" t="s">
        <v>95</v>
      </c>
      <c r="B69" s="244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ht="29.25" customHeight="1">
      <c r="A70" s="330" t="s">
        <v>86</v>
      </c>
      <c r="B70" s="312">
        <v>0.68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ht="16.5" customHeight="1">
      <c r="A71" s="329" t="s">
        <v>96</v>
      </c>
      <c r="B71" s="244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ht="19.5" customHeight="1">
      <c r="A72" s="330" t="s">
        <v>58</v>
      </c>
      <c r="B72" s="244"/>
      <c r="C72" s="267">
        <v>0</v>
      </c>
      <c r="D72" s="267">
        <v>0</v>
      </c>
      <c r="E72" s="267">
        <v>0</v>
      </c>
      <c r="F72" s="267">
        <v>0</v>
      </c>
      <c r="G72" s="267">
        <v>0</v>
      </c>
      <c r="H72" s="267">
        <v>0</v>
      </c>
      <c r="I72" s="267">
        <v>0</v>
      </c>
      <c r="J72" s="267">
        <v>0</v>
      </c>
      <c r="K72" s="267">
        <v>0</v>
      </c>
      <c r="L72" s="267">
        <v>0</v>
      </c>
      <c r="M72" s="267">
        <v>0</v>
      </c>
      <c r="N72" s="267">
        <v>0</v>
      </c>
      <c r="O72" s="267">
        <v>0</v>
      </c>
      <c r="P72" s="267">
        <v>0</v>
      </c>
      <c r="Q72" s="267">
        <v>0</v>
      </c>
      <c r="R72" s="267">
        <v>0</v>
      </c>
      <c r="S72" s="267">
        <v>0</v>
      </c>
      <c r="T72" s="267">
        <v>0</v>
      </c>
      <c r="U72" s="267">
        <v>0</v>
      </c>
      <c r="V72" s="267">
        <v>0</v>
      </c>
      <c r="W72" s="267">
        <v>0</v>
      </c>
      <c r="X72" s="267">
        <v>0</v>
      </c>
      <c r="Y72" s="267">
        <v>0</v>
      </c>
      <c r="Z72" s="267">
        <v>0</v>
      </c>
      <c r="AA72" s="267">
        <v>0</v>
      </c>
      <c r="AB72" s="267">
        <v>0</v>
      </c>
      <c r="AC72" s="267">
        <v>0</v>
      </c>
      <c r="AD72" s="267">
        <v>0</v>
      </c>
      <c r="AE72" s="267">
        <v>0</v>
      </c>
      <c r="AF72" s="292">
        <v>0</v>
      </c>
      <c r="AG72" s="12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ht="64.5" customHeight="1">
      <c r="A73" s="20" t="s">
        <v>171</v>
      </c>
      <c r="B73" s="244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92"/>
      <c r="AG73" s="12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ht="33.75" customHeight="1">
      <c r="A74" s="20" t="s">
        <v>216</v>
      </c>
      <c r="B74" s="244"/>
      <c r="C74" s="174">
        <v>500</v>
      </c>
      <c r="D74" s="174">
        <v>500</v>
      </c>
      <c r="E74" s="174">
        <v>500</v>
      </c>
      <c r="F74" s="174">
        <v>500</v>
      </c>
      <c r="G74" s="174">
        <v>500</v>
      </c>
      <c r="H74" s="174">
        <v>500</v>
      </c>
      <c r="I74" s="174">
        <v>500</v>
      </c>
      <c r="J74" s="174">
        <v>500</v>
      </c>
      <c r="K74" s="174">
        <v>500</v>
      </c>
      <c r="L74" s="174">
        <v>500</v>
      </c>
      <c r="M74" s="174">
        <v>500</v>
      </c>
      <c r="N74" s="174">
        <v>500</v>
      </c>
      <c r="O74" s="174">
        <v>500</v>
      </c>
      <c r="P74" s="174">
        <v>500</v>
      </c>
      <c r="Q74" s="174">
        <v>500</v>
      </c>
      <c r="R74" s="174">
        <v>500</v>
      </c>
      <c r="S74" s="174">
        <v>500</v>
      </c>
      <c r="T74" s="174">
        <v>500</v>
      </c>
      <c r="U74" s="174">
        <v>500</v>
      </c>
      <c r="V74" s="174">
        <v>500</v>
      </c>
      <c r="W74" s="174">
        <v>500</v>
      </c>
      <c r="X74" s="174">
        <v>500</v>
      </c>
      <c r="Y74" s="174">
        <v>500</v>
      </c>
      <c r="Z74" s="174">
        <v>500</v>
      </c>
      <c r="AA74" s="174">
        <v>500</v>
      </c>
      <c r="AB74" s="174">
        <v>500</v>
      </c>
      <c r="AC74" s="174">
        <v>500</v>
      </c>
      <c r="AD74" s="174">
        <v>500</v>
      </c>
      <c r="AE74" s="174">
        <v>500</v>
      </c>
      <c r="AF74" s="286">
        <v>500</v>
      </c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33" ht="120">
      <c r="A75" s="330" t="s">
        <v>170</v>
      </c>
      <c r="B75" s="186"/>
      <c r="C75" s="273">
        <v>174.6</v>
      </c>
      <c r="D75" s="273">
        <v>174.6</v>
      </c>
      <c r="E75" s="273">
        <v>174.6</v>
      </c>
      <c r="F75" s="273">
        <v>174.6</v>
      </c>
      <c r="G75" s="273">
        <v>174.6</v>
      </c>
      <c r="H75" s="273">
        <v>174.6</v>
      </c>
      <c r="I75" s="273">
        <v>174.6</v>
      </c>
      <c r="J75" s="273">
        <v>174.6</v>
      </c>
      <c r="K75" s="273">
        <v>174.6</v>
      </c>
      <c r="L75" s="273">
        <v>174.6</v>
      </c>
      <c r="M75" s="273">
        <v>174.6</v>
      </c>
      <c r="N75" s="273">
        <v>174.6</v>
      </c>
      <c r="O75" s="273">
        <v>174.6</v>
      </c>
      <c r="P75" s="273">
        <v>174.6</v>
      </c>
      <c r="Q75" s="273">
        <v>174.6</v>
      </c>
      <c r="R75" s="273">
        <v>174.6</v>
      </c>
      <c r="S75" s="273">
        <v>174.6</v>
      </c>
      <c r="T75" s="273">
        <v>174.6</v>
      </c>
      <c r="U75" s="273">
        <v>174.6</v>
      </c>
      <c r="V75" s="273">
        <v>174.6</v>
      </c>
      <c r="W75" s="273">
        <v>174.6</v>
      </c>
      <c r="X75" s="273">
        <v>174.6</v>
      </c>
      <c r="Y75" s="273">
        <v>174.6</v>
      </c>
      <c r="Z75" s="273">
        <v>174.6</v>
      </c>
      <c r="AA75" s="273">
        <v>174.6</v>
      </c>
      <c r="AB75" s="273">
        <v>174.6</v>
      </c>
      <c r="AC75" s="273">
        <v>174.6</v>
      </c>
      <c r="AD75" s="273">
        <v>174.6</v>
      </c>
      <c r="AE75" s="273">
        <v>174.6</v>
      </c>
      <c r="AF75" s="291">
        <v>174.6</v>
      </c>
      <c r="AG75" s="35"/>
    </row>
    <row r="76" spans="1:32" ht="15">
      <c r="A76" s="329" t="s">
        <v>65</v>
      </c>
      <c r="B76" s="186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122"/>
      <c r="X76" s="92"/>
      <c r="Y76" s="92"/>
      <c r="Z76" s="92"/>
      <c r="AA76" s="92"/>
      <c r="AB76" s="92"/>
      <c r="AC76" s="92"/>
      <c r="AD76" s="92"/>
      <c r="AE76" s="92"/>
      <c r="AF76" s="92"/>
    </row>
    <row r="77" spans="1:32" ht="36.75" customHeight="1">
      <c r="A77" s="330" t="s">
        <v>152</v>
      </c>
      <c r="B77" s="341">
        <v>0.5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122"/>
      <c r="X77" s="92"/>
      <c r="Y77" s="92"/>
      <c r="Z77" s="92"/>
      <c r="AA77" s="92"/>
      <c r="AB77" s="92"/>
      <c r="AC77" s="92"/>
      <c r="AD77" s="92"/>
      <c r="AE77" s="92"/>
      <c r="AF77" s="92"/>
    </row>
    <row r="78" spans="1:32" ht="30">
      <c r="A78" s="330" t="s">
        <v>127</v>
      </c>
      <c r="B78" s="186"/>
      <c r="C78" s="264">
        <v>0</v>
      </c>
      <c r="D78" s="264">
        <v>0</v>
      </c>
      <c r="E78" s="264">
        <v>0</v>
      </c>
      <c r="F78" s="264">
        <v>0</v>
      </c>
      <c r="G78" s="264">
        <v>0</v>
      </c>
      <c r="H78" s="264">
        <v>0</v>
      </c>
      <c r="I78" s="264">
        <v>0</v>
      </c>
      <c r="J78" s="264">
        <v>0</v>
      </c>
      <c r="K78" s="264">
        <v>0</v>
      </c>
      <c r="L78" s="264">
        <v>0</v>
      </c>
      <c r="M78" s="264">
        <v>0</v>
      </c>
      <c r="N78" s="264">
        <v>0</v>
      </c>
      <c r="O78" s="264">
        <v>0</v>
      </c>
      <c r="P78" s="264">
        <v>0</v>
      </c>
      <c r="Q78" s="264">
        <v>0</v>
      </c>
      <c r="R78" s="264">
        <v>0</v>
      </c>
      <c r="S78" s="264">
        <v>0</v>
      </c>
      <c r="T78" s="264">
        <v>0</v>
      </c>
      <c r="U78" s="264">
        <v>0</v>
      </c>
      <c r="V78" s="264">
        <v>0</v>
      </c>
      <c r="W78" s="264">
        <v>0</v>
      </c>
      <c r="X78" s="264">
        <v>0</v>
      </c>
      <c r="Y78" s="264">
        <v>0</v>
      </c>
      <c r="Z78" s="264">
        <v>0</v>
      </c>
      <c r="AA78" s="264">
        <v>0</v>
      </c>
      <c r="AB78" s="264">
        <v>0</v>
      </c>
      <c r="AC78" s="264">
        <v>0</v>
      </c>
      <c r="AD78" s="264">
        <v>0</v>
      </c>
      <c r="AE78" s="264">
        <v>0</v>
      </c>
      <c r="AF78" s="285">
        <v>0</v>
      </c>
    </row>
    <row r="79" spans="1:32" ht="78.75" customHeight="1">
      <c r="A79" s="332" t="s">
        <v>128</v>
      </c>
      <c r="B79" s="186"/>
      <c r="C79" s="264">
        <v>0</v>
      </c>
      <c r="D79" s="264">
        <v>0</v>
      </c>
      <c r="E79" s="264">
        <v>0</v>
      </c>
      <c r="F79" s="264">
        <v>0</v>
      </c>
      <c r="G79" s="264">
        <v>0</v>
      </c>
      <c r="H79" s="264">
        <v>0</v>
      </c>
      <c r="I79" s="264">
        <v>0</v>
      </c>
      <c r="J79" s="264">
        <v>0</v>
      </c>
      <c r="K79" s="313">
        <v>0</v>
      </c>
      <c r="L79" s="264">
        <v>0</v>
      </c>
      <c r="M79" s="264">
        <v>0</v>
      </c>
      <c r="N79" s="264">
        <v>0</v>
      </c>
      <c r="O79" s="264">
        <v>0</v>
      </c>
      <c r="P79" s="264">
        <v>0</v>
      </c>
      <c r="Q79" s="264">
        <v>0</v>
      </c>
      <c r="R79" s="264">
        <v>0</v>
      </c>
      <c r="S79" s="264">
        <v>0</v>
      </c>
      <c r="T79" s="264">
        <v>0</v>
      </c>
      <c r="U79" s="264">
        <v>0</v>
      </c>
      <c r="V79" s="264">
        <v>0</v>
      </c>
      <c r="W79" s="264">
        <v>0</v>
      </c>
      <c r="X79" s="264">
        <v>0</v>
      </c>
      <c r="Y79" s="264">
        <v>0</v>
      </c>
      <c r="Z79" s="264">
        <v>0</v>
      </c>
      <c r="AA79" s="264">
        <v>0</v>
      </c>
      <c r="AB79" s="264">
        <v>0</v>
      </c>
      <c r="AC79" s="264">
        <v>0</v>
      </c>
      <c r="AD79" s="264">
        <v>0</v>
      </c>
      <c r="AE79" s="264">
        <v>0</v>
      </c>
      <c r="AF79" s="285">
        <v>0</v>
      </c>
    </row>
    <row r="80" spans="1:32" ht="30">
      <c r="A80" s="330" t="s">
        <v>132</v>
      </c>
      <c r="B80" s="186"/>
      <c r="C80" s="273">
        <v>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273">
        <v>0</v>
      </c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9"/>
    </row>
    <row r="81" spans="1:32" s="54" customFormat="1" ht="45">
      <c r="A81" s="330" t="s">
        <v>137</v>
      </c>
      <c r="B81" s="186"/>
      <c r="C81" s="273">
        <v>34</v>
      </c>
      <c r="D81" s="273">
        <v>34</v>
      </c>
      <c r="E81" s="273">
        <v>34</v>
      </c>
      <c r="F81" s="273">
        <v>34</v>
      </c>
      <c r="G81" s="273">
        <v>34</v>
      </c>
      <c r="H81" s="273">
        <v>34</v>
      </c>
      <c r="I81" s="273">
        <v>34</v>
      </c>
      <c r="J81" s="273">
        <v>34</v>
      </c>
      <c r="K81" s="273">
        <v>34</v>
      </c>
      <c r="L81" s="273">
        <v>34</v>
      </c>
      <c r="M81" s="273">
        <v>34</v>
      </c>
      <c r="N81" s="273">
        <v>34</v>
      </c>
      <c r="O81" s="273">
        <v>34</v>
      </c>
      <c r="P81" s="273">
        <v>34</v>
      </c>
      <c r="Q81" s="273">
        <v>34</v>
      </c>
      <c r="R81" s="273">
        <v>34</v>
      </c>
      <c r="S81" s="273">
        <v>34</v>
      </c>
      <c r="T81" s="273">
        <v>34</v>
      </c>
      <c r="U81" s="273">
        <v>34</v>
      </c>
      <c r="V81" s="273">
        <v>34</v>
      </c>
      <c r="W81" s="273">
        <v>34</v>
      </c>
      <c r="X81" s="273">
        <v>34</v>
      </c>
      <c r="Y81" s="273">
        <v>34</v>
      </c>
      <c r="Z81" s="273">
        <v>34</v>
      </c>
      <c r="AA81" s="273">
        <v>34</v>
      </c>
      <c r="AB81" s="273">
        <v>34</v>
      </c>
      <c r="AC81" s="273">
        <v>34</v>
      </c>
      <c r="AD81" s="273">
        <v>34</v>
      </c>
      <c r="AE81" s="273">
        <v>34</v>
      </c>
      <c r="AF81" s="291">
        <v>34</v>
      </c>
    </row>
    <row r="82" spans="1:32" ht="45">
      <c r="A82" s="330" t="s">
        <v>150</v>
      </c>
      <c r="B82" s="339">
        <v>30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122"/>
      <c r="X82" s="92"/>
      <c r="Y82" s="92"/>
      <c r="Z82" s="92"/>
      <c r="AA82" s="92"/>
      <c r="AB82" s="92"/>
      <c r="AC82" s="92"/>
      <c r="AD82" s="92"/>
      <c r="AE82" s="92"/>
      <c r="AF82" s="92"/>
    </row>
    <row r="83" spans="1:55" ht="19.5" customHeight="1">
      <c r="A83" s="332" t="s">
        <v>64</v>
      </c>
      <c r="B83" s="342">
        <f>108*10.6</f>
        <v>1144.8</v>
      </c>
      <c r="C83" s="125"/>
      <c r="D83" s="125"/>
      <c r="E83" s="125"/>
      <c r="F83" s="70"/>
      <c r="G83" s="70"/>
      <c r="H83" s="70"/>
      <c r="I83" s="70"/>
      <c r="J83" s="70"/>
      <c r="K83" s="125"/>
      <c r="L83" s="125"/>
      <c r="M83" s="125"/>
      <c r="N83" s="125"/>
      <c r="O83" s="125"/>
      <c r="P83" s="70"/>
      <c r="Q83" s="70"/>
      <c r="R83" s="70"/>
      <c r="S83" s="70"/>
      <c r="T83" s="70"/>
      <c r="U83" s="125"/>
      <c r="V83" s="125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</row>
    <row r="84" spans="1:55" ht="20.25" customHeight="1">
      <c r="A84" s="330" t="s">
        <v>85</v>
      </c>
      <c r="B84" s="340">
        <v>95.4</v>
      </c>
      <c r="C84" s="267">
        <v>95.4</v>
      </c>
      <c r="D84" s="267">
        <v>95.4</v>
      </c>
      <c r="E84" s="267">
        <v>98.8</v>
      </c>
      <c r="F84" s="267">
        <v>102.3</v>
      </c>
      <c r="G84" s="267">
        <v>105.9</v>
      </c>
      <c r="H84" s="267">
        <v>109.7</v>
      </c>
      <c r="I84" s="267">
        <v>113.6</v>
      </c>
      <c r="J84" s="267">
        <v>117.6</v>
      </c>
      <c r="K84" s="267">
        <v>124</v>
      </c>
      <c r="L84" s="267">
        <v>124</v>
      </c>
      <c r="M84" s="267">
        <v>124</v>
      </c>
      <c r="N84" s="267">
        <v>124</v>
      </c>
      <c r="O84" s="267">
        <v>124</v>
      </c>
      <c r="P84" s="267">
        <v>124</v>
      </c>
      <c r="Q84" s="267">
        <v>124</v>
      </c>
      <c r="R84" s="267">
        <v>124</v>
      </c>
      <c r="S84" s="267">
        <v>124</v>
      </c>
      <c r="T84" s="267">
        <v>124</v>
      </c>
      <c r="U84" s="267">
        <v>124</v>
      </c>
      <c r="V84" s="267">
        <v>124</v>
      </c>
      <c r="W84" s="267">
        <v>124</v>
      </c>
      <c r="X84" s="267">
        <v>124</v>
      </c>
      <c r="Y84" s="267">
        <v>124</v>
      </c>
      <c r="Z84" s="267">
        <v>124</v>
      </c>
      <c r="AA84" s="267">
        <v>124</v>
      </c>
      <c r="AB84" s="267">
        <v>124</v>
      </c>
      <c r="AC84" s="267">
        <v>124</v>
      </c>
      <c r="AD84" s="267">
        <v>124</v>
      </c>
      <c r="AE84" s="267">
        <v>124</v>
      </c>
      <c r="AF84" s="292">
        <v>124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</row>
    <row r="85" spans="1:31" ht="10.5" customHeight="1">
      <c r="A85" s="7"/>
      <c r="B85" s="15"/>
      <c r="C85" s="1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34"/>
      <c r="X85" s="34"/>
      <c r="Y85" s="34"/>
      <c r="Z85" s="34"/>
      <c r="AA85" s="34"/>
      <c r="AB85" s="34"/>
      <c r="AC85" s="34"/>
      <c r="AD85" s="34"/>
      <c r="AE85" s="16"/>
    </row>
    <row r="86" spans="1:31" ht="19.5" customHeight="1">
      <c r="A86" s="114" t="s">
        <v>125</v>
      </c>
      <c r="B86" s="116"/>
      <c r="C86" s="14"/>
      <c r="D86" s="14"/>
      <c r="E86" s="14"/>
      <c r="F86" s="14"/>
      <c r="G86" s="14"/>
      <c r="H86" s="1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4"/>
      <c r="X86" s="34"/>
      <c r="Y86" s="34"/>
      <c r="Z86" s="34"/>
      <c r="AA86" s="34"/>
      <c r="AB86" s="34"/>
      <c r="AC86" s="34"/>
      <c r="AD86" s="34"/>
      <c r="AE86" s="16"/>
    </row>
    <row r="87" spans="1:32" ht="15">
      <c r="A87" s="16" t="s">
        <v>191</v>
      </c>
      <c r="B87" s="15"/>
      <c r="C87" s="39"/>
      <c r="D87" s="15">
        <v>1.0738831615120275</v>
      </c>
      <c r="E87" s="15">
        <v>1.056</v>
      </c>
      <c r="F87" s="15">
        <v>1.0479797979798</v>
      </c>
      <c r="G87" s="15">
        <v>1.0453012048192771</v>
      </c>
      <c r="H87" s="15">
        <v>1.04149377593361</v>
      </c>
      <c r="I87" s="15">
        <v>1.0393979637007527</v>
      </c>
      <c r="J87" s="15">
        <v>1.0379045996592844</v>
      </c>
      <c r="K87" s="15">
        <v>1.0361099712761592</v>
      </c>
      <c r="L87" s="15">
        <v>1.035247524752475</v>
      </c>
      <c r="M87" s="15">
        <v>1.0340474368783474</v>
      </c>
      <c r="N87" s="15">
        <v>1.0327413984461709</v>
      </c>
      <c r="O87" s="15">
        <v>1.0309869245925132</v>
      </c>
      <c r="P87" s="15">
        <v>1.0295343988881167</v>
      </c>
      <c r="Q87" s="15">
        <v>1.0275734053324335</v>
      </c>
      <c r="R87" s="15">
        <v>1.0276874568923045</v>
      </c>
      <c r="S87" s="15">
        <v>1.0274848194311281</v>
      </c>
      <c r="T87" s="15">
        <v>1.0276827371695179</v>
      </c>
      <c r="U87" s="15">
        <v>1.027542372881356</v>
      </c>
      <c r="V87" s="15">
        <v>1.0273932253313698</v>
      </c>
      <c r="W87" s="15">
        <v>1.0276949541284404</v>
      </c>
      <c r="X87" s="15">
        <v>1.0275623500530044</v>
      </c>
      <c r="Y87" s="15">
        <v>1.027583211163599</v>
      </c>
      <c r="Z87" s="15">
        <v>1.0275957727873184</v>
      </c>
      <c r="AA87" s="15">
        <v>1.027579734923961</v>
      </c>
      <c r="AB87" s="15">
        <v>1.0275926259532815</v>
      </c>
      <c r="AC87" s="15">
        <v>1.0275626978329682</v>
      </c>
      <c r="AD87" s="15">
        <v>1.0275816312023127</v>
      </c>
      <c r="AE87" s="15">
        <v>1.0275838214269244</v>
      </c>
      <c r="AF87" s="15">
        <v>1.0275524996521714</v>
      </c>
    </row>
    <row r="88" spans="1:32" ht="15">
      <c r="A88" s="16" t="s">
        <v>192</v>
      </c>
      <c r="B88" s="15"/>
      <c r="C88" s="39"/>
      <c r="D88" s="15">
        <f>D87</f>
        <v>1.0738831615120275</v>
      </c>
      <c r="E88" s="15">
        <f>E87*D88</f>
        <v>1.134020618556701</v>
      </c>
      <c r="F88" s="15">
        <f>F87*E88</f>
        <v>1.1884306987399793</v>
      </c>
      <c r="G88" s="15">
        <f>G87*F88</f>
        <v>1.2422680412371156</v>
      </c>
      <c r="H88" s="15">
        <f aca="true" t="shared" si="0" ref="H88:P88">H87*G88</f>
        <v>1.2938144329896932</v>
      </c>
      <c r="I88" s="15">
        <f t="shared" si="0"/>
        <v>1.344788087056131</v>
      </c>
      <c r="J88" s="15">
        <f t="shared" si="0"/>
        <v>1.3957617411225687</v>
      </c>
      <c r="K88" s="15">
        <f t="shared" si="0"/>
        <v>1.4461626575028665</v>
      </c>
      <c r="L88" s="15">
        <f t="shared" si="0"/>
        <v>1.497136311569304</v>
      </c>
      <c r="M88" s="15">
        <f t="shared" si="0"/>
        <v>1.5481099656357418</v>
      </c>
      <c r="N88" s="15">
        <f t="shared" si="0"/>
        <v>1.5987972508591095</v>
      </c>
      <c r="O88" s="15">
        <f t="shared" si="0"/>
        <v>1.6483390607101982</v>
      </c>
      <c r="P88" s="15">
        <f t="shared" si="0"/>
        <v>1.6970217640320768</v>
      </c>
      <c r="Q88" s="15">
        <f aca="true" t="shared" si="1" ref="Q88:AF88">Q87*P88</f>
        <v>1.7438144329896945</v>
      </c>
      <c r="R88" s="15">
        <f t="shared" si="1"/>
        <v>1.792096219931275</v>
      </c>
      <c r="S88" s="15">
        <f t="shared" si="1"/>
        <v>1.8413516609392935</v>
      </c>
      <c r="T88" s="15">
        <f t="shared" si="1"/>
        <v>1.892325315005731</v>
      </c>
      <c r="U88" s="15">
        <f t="shared" si="1"/>
        <v>1.9444444444444484</v>
      </c>
      <c r="V88" s="15">
        <f t="shared" si="1"/>
        <v>1.9977090492554452</v>
      </c>
      <c r="W88" s="15">
        <f t="shared" si="1"/>
        <v>2.053035509736545</v>
      </c>
      <c r="X88" s="15">
        <f t="shared" si="1"/>
        <v>2.109621993127152</v>
      </c>
      <c r="Y88" s="15">
        <f t="shared" si="1"/>
        <v>2.1678121420389505</v>
      </c>
      <c r="Z88" s="15">
        <f t="shared" si="1"/>
        <v>2.2276345933562474</v>
      </c>
      <c r="AA88" s="15">
        <f t="shared" si="1"/>
        <v>2.2890721649484584</v>
      </c>
      <c r="AB88" s="15">
        <f t="shared" si="1"/>
        <v>2.3522336769759495</v>
      </c>
      <c r="AC88" s="15">
        <f t="shared" si="1"/>
        <v>2.4170675830469692</v>
      </c>
      <c r="AD88" s="15">
        <f t="shared" si="1"/>
        <v>2.483734249713636</v>
      </c>
      <c r="AE88" s="15">
        <f t="shared" si="1"/>
        <v>2.552245131729673</v>
      </c>
      <c r="AF88" s="15">
        <f t="shared" si="1"/>
        <v>2.622565864833911</v>
      </c>
    </row>
    <row r="89" spans="2:30" ht="15">
      <c r="B89" s="15"/>
      <c r="C89" s="39"/>
      <c r="D89" s="15"/>
      <c r="E89" s="37"/>
      <c r="F89" s="39"/>
      <c r="G89" s="15"/>
      <c r="H89" s="15"/>
      <c r="I89" s="15"/>
      <c r="J89" s="15"/>
      <c r="K89" s="39"/>
      <c r="L89" s="15"/>
      <c r="M89" s="15"/>
      <c r="N89" s="15"/>
      <c r="O89" s="15"/>
      <c r="P89" s="39"/>
      <c r="Q89" s="15"/>
      <c r="R89" s="15"/>
      <c r="S89" s="15"/>
      <c r="T89" s="15"/>
      <c r="U89" s="39"/>
      <c r="V89" s="15"/>
      <c r="W89" s="34"/>
      <c r="X89" s="34"/>
      <c r="Y89" s="34"/>
      <c r="Z89" s="52"/>
      <c r="AA89" s="34"/>
      <c r="AB89" s="34"/>
      <c r="AC89" s="34"/>
      <c r="AD89" s="34"/>
    </row>
    <row r="90" spans="2:30" ht="15">
      <c r="B90" s="15"/>
      <c r="C90" s="39"/>
      <c r="D90" s="15"/>
      <c r="E90" s="37"/>
      <c r="F90" s="39"/>
      <c r="G90" s="15"/>
      <c r="H90" s="15"/>
      <c r="I90" s="15"/>
      <c r="J90" s="15"/>
      <c r="K90" s="39"/>
      <c r="L90" s="15"/>
      <c r="M90" s="15"/>
      <c r="N90" s="15"/>
      <c r="O90" s="15"/>
      <c r="P90" s="39"/>
      <c r="Q90" s="15"/>
      <c r="R90" s="15"/>
      <c r="S90" s="15"/>
      <c r="T90" s="15"/>
      <c r="U90" s="39"/>
      <c r="V90" s="15"/>
      <c r="W90" s="34"/>
      <c r="X90" s="34"/>
      <c r="Y90" s="34"/>
      <c r="Z90" s="52"/>
      <c r="AA90" s="34"/>
      <c r="AB90" s="34"/>
      <c r="AC90" s="34"/>
      <c r="AD90" s="34"/>
    </row>
    <row r="91" spans="2:30" ht="15">
      <c r="B91" s="15"/>
      <c r="C91" s="39"/>
      <c r="D91" s="15"/>
      <c r="E91" s="37"/>
      <c r="F91" s="39"/>
      <c r="G91" s="15"/>
      <c r="H91" s="15"/>
      <c r="I91" s="15"/>
      <c r="J91" s="15"/>
      <c r="K91" s="39"/>
      <c r="L91" s="15"/>
      <c r="M91" s="15"/>
      <c r="N91" s="15"/>
      <c r="O91" s="15"/>
      <c r="P91" s="39"/>
      <c r="Q91" s="15"/>
      <c r="R91" s="15"/>
      <c r="S91" s="15"/>
      <c r="T91" s="15"/>
      <c r="U91" s="39"/>
      <c r="V91" s="15"/>
      <c r="W91" s="34"/>
      <c r="X91" s="34"/>
      <c r="Y91" s="34"/>
      <c r="Z91" s="52"/>
      <c r="AA91" s="34"/>
      <c r="AB91" s="34"/>
      <c r="AC91" s="34"/>
      <c r="AD91" s="34"/>
    </row>
    <row r="92" spans="2:30" ht="15">
      <c r="B92" s="15"/>
      <c r="C92" s="39"/>
      <c r="D92" s="15"/>
      <c r="E92" s="37"/>
      <c r="F92" s="39"/>
      <c r="G92" s="15"/>
      <c r="H92" s="15"/>
      <c r="I92" s="15"/>
      <c r="J92" s="15"/>
      <c r="K92" s="39"/>
      <c r="L92" s="15"/>
      <c r="M92" s="15"/>
      <c r="N92" s="15"/>
      <c r="O92" s="15"/>
      <c r="P92" s="39"/>
      <c r="Q92" s="15"/>
      <c r="R92" s="15"/>
      <c r="S92" s="15"/>
      <c r="T92" s="15"/>
      <c r="U92" s="39"/>
      <c r="V92" s="15"/>
      <c r="W92" s="34"/>
      <c r="X92" s="34"/>
      <c r="Y92" s="34"/>
      <c r="Z92" s="52"/>
      <c r="AA92" s="34"/>
      <c r="AB92" s="34"/>
      <c r="AC92" s="34"/>
      <c r="AD92" s="34"/>
    </row>
    <row r="93" spans="2:30" ht="15">
      <c r="B93" s="15"/>
      <c r="C93" s="39"/>
      <c r="D93" s="15"/>
      <c r="E93" s="37"/>
      <c r="F93" s="39"/>
      <c r="G93" s="15"/>
      <c r="H93" s="15"/>
      <c r="I93" s="15"/>
      <c r="J93" s="15"/>
      <c r="K93" s="39"/>
      <c r="L93" s="15"/>
      <c r="M93" s="15"/>
      <c r="N93" s="15"/>
      <c r="O93" s="15"/>
      <c r="P93" s="39"/>
      <c r="Q93" s="15"/>
      <c r="R93" s="15"/>
      <c r="S93" s="15"/>
      <c r="T93" s="15"/>
      <c r="U93" s="39"/>
      <c r="V93" s="15"/>
      <c r="W93" s="34"/>
      <c r="X93" s="34"/>
      <c r="Y93" s="34"/>
      <c r="Z93" s="52"/>
      <c r="AA93" s="34"/>
      <c r="AB93" s="34"/>
      <c r="AC93" s="34"/>
      <c r="AD93" s="34"/>
    </row>
    <row r="94" spans="2:30" ht="15">
      <c r="B94" s="15"/>
      <c r="C94" s="39"/>
      <c r="D94" s="15"/>
      <c r="E94" s="37"/>
      <c r="F94" s="39"/>
      <c r="G94" s="15"/>
      <c r="H94" s="15"/>
      <c r="I94" s="15"/>
      <c r="J94" s="15"/>
      <c r="K94" s="39"/>
      <c r="L94" s="15"/>
      <c r="M94" s="15"/>
      <c r="N94" s="15"/>
      <c r="O94" s="15"/>
      <c r="P94" s="39"/>
      <c r="Q94" s="15"/>
      <c r="R94" s="15"/>
      <c r="S94" s="15"/>
      <c r="T94" s="15"/>
      <c r="U94" s="39"/>
      <c r="V94" s="15"/>
      <c r="W94" s="34"/>
      <c r="X94" s="34"/>
      <c r="Y94" s="34"/>
      <c r="Z94" s="52"/>
      <c r="AA94" s="34"/>
      <c r="AB94" s="34"/>
      <c r="AC94" s="34"/>
      <c r="AD94" s="34"/>
    </row>
    <row r="95" spans="2:30" ht="15">
      <c r="B95" s="15"/>
      <c r="C95" s="39"/>
      <c r="D95" s="15"/>
      <c r="E95" s="37"/>
      <c r="F95" s="39"/>
      <c r="G95" s="15"/>
      <c r="H95" s="15"/>
      <c r="I95" s="15"/>
      <c r="J95" s="15"/>
      <c r="K95" s="39"/>
      <c r="L95" s="15"/>
      <c r="M95" s="15"/>
      <c r="N95" s="15"/>
      <c r="O95" s="15"/>
      <c r="P95" s="39"/>
      <c r="Q95" s="15"/>
      <c r="R95" s="15"/>
      <c r="S95" s="15"/>
      <c r="T95" s="15"/>
      <c r="U95" s="39"/>
      <c r="V95" s="15"/>
      <c r="W95" s="34"/>
      <c r="X95" s="34"/>
      <c r="Y95" s="34"/>
      <c r="Z95" s="52"/>
      <c r="AA95" s="34"/>
      <c r="AB95" s="34"/>
      <c r="AC95" s="34"/>
      <c r="AD95" s="34"/>
    </row>
    <row r="96" spans="2:30" ht="15">
      <c r="B96" s="15"/>
      <c r="C96" s="39"/>
      <c r="D96" s="15"/>
      <c r="E96" s="37"/>
      <c r="F96" s="39"/>
      <c r="G96" s="15"/>
      <c r="H96" s="15"/>
      <c r="I96" s="15"/>
      <c r="J96" s="15"/>
      <c r="K96" s="39"/>
      <c r="L96" s="15"/>
      <c r="M96" s="15"/>
      <c r="N96" s="15"/>
      <c r="O96" s="15"/>
      <c r="P96" s="39"/>
      <c r="Q96" s="15"/>
      <c r="R96" s="15"/>
      <c r="S96" s="15"/>
      <c r="T96" s="15"/>
      <c r="U96" s="39"/>
      <c r="V96" s="15"/>
      <c r="W96" s="34"/>
      <c r="X96" s="34"/>
      <c r="Y96" s="34"/>
      <c r="Z96" s="52"/>
      <c r="AA96" s="34"/>
      <c r="AB96" s="34"/>
      <c r="AC96" s="34"/>
      <c r="AD96" s="34"/>
    </row>
    <row r="97" spans="2:30" ht="15">
      <c r="B97" s="15"/>
      <c r="C97" s="39"/>
      <c r="D97" s="15"/>
      <c r="E97" s="37"/>
      <c r="F97" s="39"/>
      <c r="G97" s="15"/>
      <c r="H97" s="15"/>
      <c r="I97" s="15"/>
      <c r="J97" s="15"/>
      <c r="K97" s="39"/>
      <c r="L97" s="15"/>
      <c r="M97" s="15"/>
      <c r="N97" s="15"/>
      <c r="O97" s="15"/>
      <c r="P97" s="39"/>
      <c r="Q97" s="15"/>
      <c r="R97" s="15"/>
      <c r="S97" s="15"/>
      <c r="T97" s="15"/>
      <c r="U97" s="39"/>
      <c r="V97" s="15"/>
      <c r="W97" s="34"/>
      <c r="X97" s="34"/>
      <c r="Y97" s="34"/>
      <c r="Z97" s="52"/>
      <c r="AA97" s="34"/>
      <c r="AB97" s="34"/>
      <c r="AC97" s="34"/>
      <c r="AD97" s="34"/>
    </row>
    <row r="98" spans="2:30" ht="15">
      <c r="B98" s="15"/>
      <c r="C98" s="39"/>
      <c r="D98" s="15"/>
      <c r="E98" s="37"/>
      <c r="F98" s="39"/>
      <c r="G98" s="15"/>
      <c r="H98" s="15"/>
      <c r="I98" s="15"/>
      <c r="J98" s="15"/>
      <c r="K98" s="39"/>
      <c r="L98" s="15"/>
      <c r="M98" s="15"/>
      <c r="N98" s="15"/>
      <c r="O98" s="15"/>
      <c r="P98" s="39"/>
      <c r="Q98" s="15"/>
      <c r="R98" s="15"/>
      <c r="S98" s="15"/>
      <c r="T98" s="15"/>
      <c r="U98" s="39"/>
      <c r="V98" s="15"/>
      <c r="W98" s="34"/>
      <c r="X98" s="34"/>
      <c r="Y98" s="34"/>
      <c r="Z98" s="52"/>
      <c r="AA98" s="34"/>
      <c r="AB98" s="34"/>
      <c r="AC98" s="34"/>
      <c r="AD98" s="34"/>
    </row>
    <row r="99" spans="2:30" ht="15">
      <c r="B99" s="15"/>
      <c r="C99" s="39"/>
      <c r="D99" s="15"/>
      <c r="E99" s="37"/>
      <c r="F99" s="39"/>
      <c r="G99" s="15"/>
      <c r="H99" s="15"/>
      <c r="I99" s="15"/>
      <c r="J99" s="15"/>
      <c r="K99" s="39"/>
      <c r="L99" s="15"/>
      <c r="M99" s="15"/>
      <c r="N99" s="15"/>
      <c r="O99" s="15"/>
      <c r="P99" s="39"/>
      <c r="Q99" s="15"/>
      <c r="R99" s="15"/>
      <c r="S99" s="15"/>
      <c r="T99" s="15"/>
      <c r="U99" s="39"/>
      <c r="V99" s="15"/>
      <c r="W99" s="34"/>
      <c r="X99" s="34"/>
      <c r="Y99" s="34"/>
      <c r="Z99" s="52"/>
      <c r="AA99" s="34"/>
      <c r="AB99" s="34"/>
      <c r="AC99" s="34"/>
      <c r="AD99" s="34"/>
    </row>
    <row r="100" spans="2:30" ht="15">
      <c r="B100" s="15"/>
      <c r="C100" s="39"/>
      <c r="D100" s="15"/>
      <c r="E100" s="37"/>
      <c r="F100" s="39"/>
      <c r="G100" s="15"/>
      <c r="H100" s="15"/>
      <c r="I100" s="15"/>
      <c r="J100" s="15"/>
      <c r="K100" s="39"/>
      <c r="L100" s="15"/>
      <c r="M100" s="15"/>
      <c r="N100" s="15"/>
      <c r="O100" s="15"/>
      <c r="P100" s="39"/>
      <c r="Q100" s="15"/>
      <c r="R100" s="15"/>
      <c r="S100" s="15"/>
      <c r="T100" s="15"/>
      <c r="U100" s="39"/>
      <c r="V100" s="15"/>
      <c r="W100" s="34"/>
      <c r="X100" s="34"/>
      <c r="Y100" s="34"/>
      <c r="Z100" s="52"/>
      <c r="AA100" s="34"/>
      <c r="AB100" s="34"/>
      <c r="AC100" s="34"/>
      <c r="AD100" s="34"/>
    </row>
    <row r="101" spans="2:22" ht="15">
      <c r="B101" s="15"/>
      <c r="C101" s="39"/>
      <c r="D101" s="15"/>
      <c r="E101" s="37"/>
      <c r="F101" s="39"/>
      <c r="G101" s="15"/>
      <c r="H101" s="15"/>
      <c r="I101" s="15"/>
      <c r="J101" s="15"/>
      <c r="K101" s="39"/>
      <c r="L101" s="15"/>
      <c r="M101" s="15"/>
      <c r="N101" s="15"/>
      <c r="O101" s="15"/>
      <c r="P101" s="39"/>
      <c r="Q101" s="15"/>
      <c r="R101" s="15"/>
      <c r="S101" s="15"/>
      <c r="T101" s="15"/>
      <c r="U101" s="39"/>
      <c r="V101" s="15"/>
    </row>
    <row r="102" spans="2:22" ht="15">
      <c r="B102" s="15"/>
      <c r="C102" s="39"/>
      <c r="D102" s="15"/>
      <c r="E102" s="37"/>
      <c r="F102" s="39"/>
      <c r="G102" s="15"/>
      <c r="H102" s="15"/>
      <c r="I102" s="15"/>
      <c r="J102" s="15"/>
      <c r="K102" s="39"/>
      <c r="L102" s="15"/>
      <c r="M102" s="15"/>
      <c r="N102" s="15"/>
      <c r="O102" s="15"/>
      <c r="P102" s="39"/>
      <c r="Q102" s="15"/>
      <c r="R102" s="15"/>
      <c r="S102" s="15"/>
      <c r="T102" s="15"/>
      <c r="U102" s="39"/>
      <c r="V102" s="15"/>
    </row>
  </sheetData>
  <sheetProtection selectLockedCells="1" selectUnlockedCells="1"/>
  <mergeCells count="6">
    <mergeCell ref="C5:E5"/>
    <mergeCell ref="F5:J5"/>
    <mergeCell ref="K5:O5"/>
    <mergeCell ref="P5:T5"/>
    <mergeCell ref="U5:Y5"/>
    <mergeCell ref="Z5:AD5"/>
  </mergeCells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70" r:id="rId1"/>
  <rowBreaks count="3" manualBreakCount="3">
    <brk id="30" max="255" man="1"/>
    <brk id="44" max="31" man="1"/>
    <brk id="65" max="31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B53"/>
  <sheetViews>
    <sheetView view="pageBreakPreview" zoomScaleNormal="85" zoomScaleSheetLayoutView="10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3" sqref="C33"/>
    </sheetView>
  </sheetViews>
  <sheetFormatPr defaultColWidth="9.140625" defaultRowHeight="15"/>
  <cols>
    <col min="1" max="1" width="50.28125" style="16" customWidth="1"/>
    <col min="2" max="2" width="9.8515625" style="43" customWidth="1"/>
    <col min="3" max="4" width="9.8515625" style="30" customWidth="1"/>
    <col min="5" max="5" width="9.8515625" style="43" customWidth="1"/>
    <col min="6" max="9" width="9.8515625" style="30" customWidth="1"/>
    <col min="10" max="10" width="9.8515625" style="43" customWidth="1"/>
    <col min="11" max="13" width="9.8515625" style="30" customWidth="1"/>
    <col min="14" max="14" width="9.8515625" style="42" customWidth="1"/>
    <col min="15" max="15" width="9.8515625" style="43" customWidth="1"/>
    <col min="16" max="18" width="9.8515625" style="30" customWidth="1"/>
    <col min="19" max="19" width="9.8515625" style="42" customWidth="1"/>
    <col min="20" max="20" width="9.8515625" style="43" customWidth="1"/>
    <col min="21" max="21" width="9.8515625" style="30" customWidth="1"/>
    <col min="22" max="22" width="7.57421875" style="15" customWidth="1"/>
    <col min="23" max="23" width="9.140625" style="16" customWidth="1"/>
    <col min="24" max="24" width="9.140625" style="49" customWidth="1"/>
    <col min="25" max="25" width="9.140625" style="51" customWidth="1"/>
    <col min="26" max="28" width="9.140625" style="16" customWidth="1"/>
    <col min="29" max="29" width="9.140625" style="49" customWidth="1"/>
    <col min="30" max="16384" width="9.140625" style="16" customWidth="1"/>
  </cols>
  <sheetData>
    <row r="1" spans="1:29" ht="26.25" customHeight="1">
      <c r="A1" s="27" t="s">
        <v>67</v>
      </c>
      <c r="B1" s="40"/>
      <c r="C1" s="14"/>
      <c r="D1" s="14"/>
      <c r="E1" s="40"/>
      <c r="F1" s="14"/>
      <c r="G1" s="14"/>
      <c r="H1" s="17"/>
      <c r="I1" s="17"/>
      <c r="J1" s="41"/>
      <c r="K1" s="17"/>
      <c r="L1" s="17"/>
      <c r="M1" s="17"/>
      <c r="N1" s="38"/>
      <c r="O1" s="41"/>
      <c r="P1" s="17"/>
      <c r="Q1" s="17"/>
      <c r="R1" s="17"/>
      <c r="S1" s="38"/>
      <c r="T1" s="41"/>
      <c r="U1" s="17"/>
      <c r="V1" s="34"/>
      <c r="W1" s="34"/>
      <c r="X1" s="50"/>
      <c r="Y1" s="52"/>
      <c r="Z1" s="34"/>
      <c r="AA1" s="34"/>
      <c r="AB1" s="34"/>
      <c r="AC1" s="50"/>
    </row>
    <row r="2" spans="1:31" ht="15">
      <c r="A2" s="28" t="s">
        <v>51</v>
      </c>
      <c r="B2" s="357" t="s">
        <v>29</v>
      </c>
      <c r="C2" s="360"/>
      <c r="D2" s="361"/>
      <c r="E2" s="357" t="s">
        <v>30</v>
      </c>
      <c r="F2" s="360"/>
      <c r="G2" s="360"/>
      <c r="H2" s="360"/>
      <c r="I2" s="361"/>
      <c r="J2" s="357" t="s">
        <v>31</v>
      </c>
      <c r="K2" s="360"/>
      <c r="L2" s="360"/>
      <c r="M2" s="360"/>
      <c r="N2" s="361"/>
      <c r="O2" s="357" t="s">
        <v>32</v>
      </c>
      <c r="P2" s="358"/>
      <c r="Q2" s="358"/>
      <c r="R2" s="358"/>
      <c r="S2" s="359"/>
      <c r="T2" s="357" t="s">
        <v>33</v>
      </c>
      <c r="U2" s="360"/>
      <c r="V2" s="360"/>
      <c r="W2" s="360"/>
      <c r="X2" s="361"/>
      <c r="Y2" s="357" t="s">
        <v>82</v>
      </c>
      <c r="Z2" s="360"/>
      <c r="AA2" s="360"/>
      <c r="AB2" s="360"/>
      <c r="AC2" s="361"/>
      <c r="AD2" s="280" t="s">
        <v>98</v>
      </c>
      <c r="AE2" s="281"/>
    </row>
    <row r="3" spans="2:31" ht="16.5" customHeight="1">
      <c r="B3" s="278">
        <v>1</v>
      </c>
      <c r="C3" s="278">
        <v>2</v>
      </c>
      <c r="D3" s="278">
        <v>3</v>
      </c>
      <c r="E3" s="279">
        <v>4</v>
      </c>
      <c r="F3" s="279">
        <v>5</v>
      </c>
      <c r="G3" s="279">
        <v>6</v>
      </c>
      <c r="H3" s="279">
        <v>7</v>
      </c>
      <c r="I3" s="279">
        <v>8</v>
      </c>
      <c r="J3" s="278">
        <v>9</v>
      </c>
      <c r="K3" s="278">
        <v>10</v>
      </c>
      <c r="L3" s="278">
        <v>11</v>
      </c>
      <c r="M3" s="278">
        <v>12</v>
      </c>
      <c r="N3" s="278">
        <v>13</v>
      </c>
      <c r="O3" s="279">
        <v>14</v>
      </c>
      <c r="P3" s="279">
        <v>15</v>
      </c>
      <c r="Q3" s="279">
        <v>16</v>
      </c>
      <c r="R3" s="279">
        <v>17</v>
      </c>
      <c r="S3" s="279">
        <v>18</v>
      </c>
      <c r="T3" s="278">
        <v>19</v>
      </c>
      <c r="U3" s="278">
        <v>20</v>
      </c>
      <c r="V3" s="278">
        <v>21</v>
      </c>
      <c r="W3" s="278">
        <v>22</v>
      </c>
      <c r="X3" s="278">
        <v>23</v>
      </c>
      <c r="Y3" s="279">
        <v>24</v>
      </c>
      <c r="Z3" s="279">
        <v>25</v>
      </c>
      <c r="AA3" s="279">
        <v>26</v>
      </c>
      <c r="AB3" s="279">
        <v>27</v>
      </c>
      <c r="AC3" s="279">
        <v>28</v>
      </c>
      <c r="AD3" s="278">
        <v>29</v>
      </c>
      <c r="AE3" s="282">
        <v>30</v>
      </c>
    </row>
    <row r="4" spans="1:23" s="66" customFormat="1" ht="21" customHeight="1">
      <c r="A4" s="62" t="s">
        <v>122</v>
      </c>
      <c r="B4" s="63"/>
      <c r="C4" s="64"/>
      <c r="D4" s="64"/>
      <c r="E4" s="64"/>
      <c r="F4" s="63"/>
      <c r="G4" s="63"/>
      <c r="H4" s="63"/>
      <c r="I4" s="63"/>
      <c r="J4" s="63"/>
      <c r="K4" s="64"/>
      <c r="L4" s="64"/>
      <c r="M4" s="64"/>
      <c r="N4" s="64"/>
      <c r="O4" s="64"/>
      <c r="P4" s="63"/>
      <c r="Q4" s="63"/>
      <c r="R4" s="63"/>
      <c r="S4" s="63"/>
      <c r="T4" s="63"/>
      <c r="U4" s="64"/>
      <c r="V4" s="64"/>
      <c r="W4" s="65"/>
    </row>
    <row r="5" spans="1:29" ht="16.5" customHeight="1">
      <c r="A5" s="16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4"/>
      <c r="W5" s="34"/>
      <c r="X5" s="34"/>
      <c r="Y5" s="34"/>
      <c r="Z5" s="34"/>
      <c r="AA5" s="34"/>
      <c r="AB5" s="34"/>
      <c r="AC5" s="34"/>
    </row>
    <row r="6" spans="1:31" ht="15.75" customHeight="1">
      <c r="A6" s="257" t="s">
        <v>89</v>
      </c>
      <c r="B6" s="250">
        <v>881</v>
      </c>
      <c r="C6" s="130"/>
      <c r="D6" s="130"/>
      <c r="E6" s="250">
        <v>871</v>
      </c>
      <c r="F6" s="130"/>
      <c r="G6" s="130"/>
      <c r="H6" s="130"/>
      <c r="I6" s="130"/>
      <c r="J6" s="250">
        <v>837</v>
      </c>
      <c r="K6" s="130"/>
      <c r="L6" s="130"/>
      <c r="M6" s="130"/>
      <c r="N6" s="130"/>
      <c r="O6" s="250">
        <v>802</v>
      </c>
      <c r="P6" s="130"/>
      <c r="Q6" s="130"/>
      <c r="R6" s="130"/>
      <c r="S6" s="130"/>
      <c r="T6" s="250">
        <v>764</v>
      </c>
      <c r="U6" s="130"/>
      <c r="V6" s="122"/>
      <c r="W6" s="122"/>
      <c r="X6" s="122"/>
      <c r="Y6" s="250">
        <v>726</v>
      </c>
      <c r="Z6" s="122"/>
      <c r="AA6" s="122"/>
      <c r="AB6" s="122"/>
      <c r="AC6" s="122"/>
      <c r="AD6" s="250">
        <v>691</v>
      </c>
      <c r="AE6" s="92"/>
    </row>
    <row r="7" spans="1:31" ht="18.75" customHeight="1">
      <c r="A7" s="99" t="s">
        <v>59</v>
      </c>
      <c r="B7" s="276">
        <v>0.05</v>
      </c>
      <c r="C7" s="132"/>
      <c r="D7" s="132"/>
      <c r="E7" s="133"/>
      <c r="F7" s="132"/>
      <c r="G7" s="132"/>
      <c r="H7" s="132"/>
      <c r="I7" s="132"/>
      <c r="J7" s="133"/>
      <c r="K7" s="132"/>
      <c r="L7" s="132"/>
      <c r="M7" s="132"/>
      <c r="N7" s="132"/>
      <c r="O7" s="133"/>
      <c r="P7" s="132"/>
      <c r="Q7" s="132"/>
      <c r="R7" s="132"/>
      <c r="S7" s="132"/>
      <c r="T7" s="133"/>
      <c r="U7" s="132"/>
      <c r="V7" s="122"/>
      <c r="W7" s="122"/>
      <c r="X7" s="122"/>
      <c r="Y7" s="122"/>
      <c r="Z7" s="122"/>
      <c r="AA7" s="122"/>
      <c r="AB7" s="122"/>
      <c r="AC7" s="122"/>
      <c r="AD7" s="92"/>
      <c r="AE7" s="92"/>
    </row>
    <row r="8" spans="1:31" ht="33" customHeight="1">
      <c r="A8" s="99" t="s">
        <v>43</v>
      </c>
      <c r="B8" s="263"/>
      <c r="C8" s="263"/>
      <c r="D8" s="263"/>
      <c r="E8" s="134"/>
      <c r="F8" s="135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122"/>
      <c r="W8" s="122"/>
      <c r="X8" s="122"/>
      <c r="Y8" s="122"/>
      <c r="Z8" s="122"/>
      <c r="AA8" s="122"/>
      <c r="AB8" s="122"/>
      <c r="AC8" s="122"/>
      <c r="AD8" s="92"/>
      <c r="AE8" s="92"/>
    </row>
    <row r="9" spans="1:31" ht="20.25" customHeight="1">
      <c r="A9" s="99" t="s">
        <v>42</v>
      </c>
      <c r="B9" s="265">
        <v>0.01</v>
      </c>
      <c r="C9" s="265">
        <v>0.02</v>
      </c>
      <c r="D9" s="265">
        <v>0.03</v>
      </c>
      <c r="E9" s="265">
        <v>0.04</v>
      </c>
      <c r="F9" s="265">
        <v>0.05</v>
      </c>
      <c r="G9" s="265">
        <v>0.06</v>
      </c>
      <c r="H9" s="265">
        <v>0.07</v>
      </c>
      <c r="I9" s="265">
        <v>0.08</v>
      </c>
      <c r="J9" s="265">
        <v>0.09</v>
      </c>
      <c r="K9" s="265">
        <v>0.1</v>
      </c>
      <c r="L9" s="265">
        <v>0.11</v>
      </c>
      <c r="M9" s="265">
        <v>0.12</v>
      </c>
      <c r="N9" s="265">
        <v>0.13</v>
      </c>
      <c r="O9" s="265">
        <v>0.14</v>
      </c>
      <c r="P9" s="265">
        <v>0.15</v>
      </c>
      <c r="Q9" s="265">
        <v>0.16</v>
      </c>
      <c r="R9" s="265">
        <v>0.17</v>
      </c>
      <c r="S9" s="265">
        <v>0.18</v>
      </c>
      <c r="T9" s="265">
        <v>0.19</v>
      </c>
      <c r="U9" s="265">
        <v>0.2</v>
      </c>
      <c r="V9" s="265">
        <v>0.21</v>
      </c>
      <c r="W9" s="265">
        <v>0.22</v>
      </c>
      <c r="X9" s="265">
        <v>0.23</v>
      </c>
      <c r="Y9" s="265">
        <v>0.24</v>
      </c>
      <c r="Z9" s="265">
        <v>0.25</v>
      </c>
      <c r="AA9" s="265">
        <v>0.26</v>
      </c>
      <c r="AB9" s="265">
        <v>0.27</v>
      </c>
      <c r="AC9" s="265">
        <v>0.28</v>
      </c>
      <c r="AD9" s="265">
        <v>0.29</v>
      </c>
      <c r="AE9" s="283">
        <v>0.3</v>
      </c>
    </row>
    <row r="10" spans="1:31" ht="16.5" customHeight="1">
      <c r="A10" s="99" t="s">
        <v>68</v>
      </c>
      <c r="B10" s="274">
        <v>0.051</v>
      </c>
      <c r="C10" s="277">
        <v>0.051</v>
      </c>
      <c r="D10" s="277">
        <v>0.051</v>
      </c>
      <c r="E10" s="277">
        <v>0.051</v>
      </c>
      <c r="F10" s="277">
        <v>0.053</v>
      </c>
      <c r="G10" s="277">
        <v>0.063</v>
      </c>
      <c r="H10" s="277">
        <v>0.073</v>
      </c>
      <c r="I10" s="277">
        <v>0.075</v>
      </c>
      <c r="J10" s="277">
        <v>0.069</v>
      </c>
      <c r="K10" s="277">
        <v>0.063</v>
      </c>
      <c r="L10" s="277">
        <v>0.0574</v>
      </c>
      <c r="M10" s="277">
        <v>0.145</v>
      </c>
      <c r="N10" s="277">
        <v>0.179</v>
      </c>
      <c r="O10" s="277">
        <v>0.165</v>
      </c>
      <c r="P10" s="277">
        <v>0.15</v>
      </c>
      <c r="Q10" s="277">
        <v>0.129</v>
      </c>
      <c r="R10" s="277">
        <v>0.109</v>
      </c>
      <c r="S10" s="277">
        <v>0.094</v>
      </c>
      <c r="T10" s="277">
        <v>0.087</v>
      </c>
      <c r="U10" s="277">
        <v>0.08</v>
      </c>
      <c r="V10" s="277">
        <v>0.073</v>
      </c>
      <c r="W10" s="277">
        <v>0.066</v>
      </c>
      <c r="X10" s="277">
        <v>0.06</v>
      </c>
      <c r="Y10" s="277">
        <v>0.054</v>
      </c>
      <c r="Z10" s="277">
        <v>0.061</v>
      </c>
      <c r="AA10" s="277">
        <v>0.068</v>
      </c>
      <c r="AB10" s="277">
        <v>0.061</v>
      </c>
      <c r="AC10" s="277">
        <v>0.054</v>
      </c>
      <c r="AD10" s="277">
        <v>0.06</v>
      </c>
      <c r="AE10" s="284">
        <v>0.053</v>
      </c>
    </row>
    <row r="11" spans="1:31" ht="35.25" customHeight="1">
      <c r="A11" s="99" t="s">
        <v>222</v>
      </c>
      <c r="B11" s="264">
        <v>0.325</v>
      </c>
      <c r="C11" s="264">
        <v>0.321</v>
      </c>
      <c r="D11" s="264">
        <v>0.317</v>
      </c>
      <c r="E11" s="264">
        <v>0.313</v>
      </c>
      <c r="F11" s="264">
        <v>0.309</v>
      </c>
      <c r="G11" s="264">
        <v>0.305</v>
      </c>
      <c r="H11" s="264">
        <v>0.301</v>
      </c>
      <c r="I11" s="264">
        <v>0.297</v>
      </c>
      <c r="J11" s="264">
        <v>0.293</v>
      </c>
      <c r="K11" s="264">
        <v>0.289</v>
      </c>
      <c r="L11" s="264">
        <v>0.285</v>
      </c>
      <c r="M11" s="264">
        <v>0.281</v>
      </c>
      <c r="N11" s="264">
        <v>0.277</v>
      </c>
      <c r="O11" s="264">
        <v>0.273</v>
      </c>
      <c r="P11" s="264">
        <v>0.269</v>
      </c>
      <c r="Q11" s="264">
        <v>0.265</v>
      </c>
      <c r="R11" s="264">
        <v>0.261</v>
      </c>
      <c r="S11" s="264">
        <v>0.257</v>
      </c>
      <c r="T11" s="264">
        <v>0.253</v>
      </c>
      <c r="U11" s="264">
        <v>0.249</v>
      </c>
      <c r="V11" s="264">
        <v>0.245</v>
      </c>
      <c r="W11" s="264">
        <v>0.241</v>
      </c>
      <c r="X11" s="264">
        <v>0.237</v>
      </c>
      <c r="Y11" s="264">
        <v>0.233</v>
      </c>
      <c r="Z11" s="264">
        <v>0.229</v>
      </c>
      <c r="AA11" s="264">
        <v>0.227</v>
      </c>
      <c r="AB11" s="264">
        <v>0.225</v>
      </c>
      <c r="AC11" s="264">
        <v>0.223</v>
      </c>
      <c r="AD11" s="264">
        <v>0.221</v>
      </c>
      <c r="AE11" s="285">
        <v>0.22</v>
      </c>
    </row>
    <row r="12" spans="1:54" s="170" customFormat="1" ht="32.25" customHeight="1">
      <c r="A12" s="182" t="s">
        <v>233</v>
      </c>
      <c r="B12" s="174">
        <v>1.11</v>
      </c>
      <c r="C12" s="174">
        <v>1.1</v>
      </c>
      <c r="D12" s="174">
        <v>1.09</v>
      </c>
      <c r="E12" s="174">
        <v>1.08</v>
      </c>
      <c r="F12" s="174">
        <v>1.07</v>
      </c>
      <c r="G12" s="174">
        <v>1.06</v>
      </c>
      <c r="H12" s="174">
        <v>1.05</v>
      </c>
      <c r="I12" s="174">
        <v>1.04</v>
      </c>
      <c r="J12" s="174">
        <v>1.03</v>
      </c>
      <c r="K12" s="174">
        <v>1.02</v>
      </c>
      <c r="L12" s="174">
        <v>1.01</v>
      </c>
      <c r="M12" s="174">
        <v>1</v>
      </c>
      <c r="N12" s="174">
        <v>0.99</v>
      </c>
      <c r="O12" s="174">
        <v>0.98</v>
      </c>
      <c r="P12" s="174">
        <v>0.97</v>
      </c>
      <c r="Q12" s="174">
        <v>0.96</v>
      </c>
      <c r="R12" s="174">
        <v>0.95</v>
      </c>
      <c r="S12" s="174">
        <v>0.94</v>
      </c>
      <c r="T12" s="174">
        <v>0.93</v>
      </c>
      <c r="U12" s="174">
        <v>0.92</v>
      </c>
      <c r="V12" s="174">
        <v>0.91</v>
      </c>
      <c r="W12" s="174">
        <v>0.9</v>
      </c>
      <c r="X12" s="174">
        <v>0.89</v>
      </c>
      <c r="Y12" s="174">
        <v>0.87</v>
      </c>
      <c r="Z12" s="174">
        <v>0.85</v>
      </c>
      <c r="AA12" s="174">
        <v>0.83</v>
      </c>
      <c r="AB12" s="174">
        <v>0.81</v>
      </c>
      <c r="AC12" s="174">
        <v>0.79</v>
      </c>
      <c r="AD12" s="174">
        <v>0.78</v>
      </c>
      <c r="AE12" s="286">
        <v>0.77</v>
      </c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</row>
    <row r="13" spans="1:31" s="36" customFormat="1" ht="15">
      <c r="A13" s="252" t="s">
        <v>65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1"/>
      <c r="W13" s="251"/>
      <c r="X13" s="251"/>
      <c r="Y13" s="251"/>
      <c r="Z13" s="251"/>
      <c r="AA13" s="251"/>
      <c r="AB13" s="251"/>
      <c r="AC13" s="251"/>
      <c r="AD13" s="254"/>
      <c r="AE13" s="254"/>
    </row>
    <row r="14" spans="1:31" ht="64.5" customHeight="1">
      <c r="A14" s="99" t="s">
        <v>223</v>
      </c>
      <c r="B14" s="268">
        <v>250</v>
      </c>
      <c r="C14" s="268">
        <v>408.7968</v>
      </c>
      <c r="D14" s="268">
        <v>424.1545454545455</v>
      </c>
      <c r="E14" s="268">
        <v>284.4086746987952</v>
      </c>
      <c r="F14" s="268">
        <v>92.57261410788381</v>
      </c>
      <c r="G14" s="268">
        <v>92.74900398406373</v>
      </c>
      <c r="H14" s="268">
        <v>92.20783645655877</v>
      </c>
      <c r="I14" s="268">
        <v>92.42265080016413</v>
      </c>
      <c r="J14" s="268">
        <v>91.96752475247526</v>
      </c>
      <c r="K14" s="268">
        <v>92.1759755164499</v>
      </c>
      <c r="L14" s="175">
        <v>92.37069922308547</v>
      </c>
      <c r="M14" s="175">
        <v>241.43148844707153</v>
      </c>
      <c r="N14" s="175">
        <v>312.43571924947884</v>
      </c>
      <c r="O14" s="175">
        <v>303.47283158960516</v>
      </c>
      <c r="P14" s="175">
        <v>295.329589122081</v>
      </c>
      <c r="Q14" s="175">
        <v>287.372962607862</v>
      </c>
      <c r="R14" s="175">
        <v>279.6858475894246</v>
      </c>
      <c r="S14" s="175">
        <v>272.1519370460049</v>
      </c>
      <c r="T14" s="175">
        <v>264.8571428571429</v>
      </c>
      <c r="U14" s="175">
        <v>257.79529816513764</v>
      </c>
      <c r="V14" s="175">
        <v>250.84807230932324</v>
      </c>
      <c r="W14" s="175">
        <v>244.11956344681548</v>
      </c>
      <c r="X14" s="175">
        <v>237.56671070013212</v>
      </c>
      <c r="Y14" s="175">
        <v>231.18692874313848</v>
      </c>
      <c r="Z14" s="175">
        <v>247.69861286254724</v>
      </c>
      <c r="AA14" s="175">
        <v>262.7289992695398</v>
      </c>
      <c r="AB14" s="175">
        <v>255.68172124543858</v>
      </c>
      <c r="AC14" s="175">
        <v>248.81889037494807</v>
      </c>
      <c r="AD14" s="175">
        <v>262.5139692385025</v>
      </c>
      <c r="AE14" s="287">
        <v>257.7628303122952</v>
      </c>
    </row>
    <row r="15" spans="1:31" ht="60">
      <c r="A15" s="255" t="s">
        <v>227</v>
      </c>
      <c r="B15" s="268"/>
      <c r="C15" s="268"/>
      <c r="D15" s="268"/>
      <c r="E15" s="268"/>
      <c r="F15" s="268"/>
      <c r="G15" s="275"/>
      <c r="H15" s="275"/>
      <c r="I15" s="275"/>
      <c r="J15" s="275"/>
      <c r="K15" s="275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88"/>
    </row>
    <row r="16" spans="1:31" ht="60">
      <c r="A16" s="255" t="s">
        <v>226</v>
      </c>
      <c r="B16" s="175">
        <v>15</v>
      </c>
      <c r="C16" s="175">
        <v>15</v>
      </c>
      <c r="D16" s="175">
        <v>15</v>
      </c>
      <c r="E16" s="175">
        <v>15</v>
      </c>
      <c r="F16" s="175">
        <v>15</v>
      </c>
      <c r="G16" s="175">
        <v>15</v>
      </c>
      <c r="H16" s="175">
        <v>15</v>
      </c>
      <c r="I16" s="175">
        <v>15</v>
      </c>
      <c r="J16" s="175">
        <v>15</v>
      </c>
      <c r="K16" s="175">
        <v>15</v>
      </c>
      <c r="L16" s="175">
        <v>15</v>
      </c>
      <c r="M16" s="175">
        <v>15</v>
      </c>
      <c r="N16" s="175">
        <v>15</v>
      </c>
      <c r="O16" s="175">
        <v>15</v>
      </c>
      <c r="P16" s="175">
        <v>15</v>
      </c>
      <c r="Q16" s="175">
        <v>15</v>
      </c>
      <c r="R16" s="175">
        <v>15</v>
      </c>
      <c r="S16" s="175">
        <v>15</v>
      </c>
      <c r="T16" s="175">
        <v>15</v>
      </c>
      <c r="U16" s="175">
        <v>15</v>
      </c>
      <c r="V16" s="175">
        <v>15</v>
      </c>
      <c r="W16" s="175">
        <v>15</v>
      </c>
      <c r="X16" s="175">
        <v>15</v>
      </c>
      <c r="Y16" s="175">
        <v>15</v>
      </c>
      <c r="Z16" s="175">
        <v>15</v>
      </c>
      <c r="AA16" s="175">
        <v>15</v>
      </c>
      <c r="AB16" s="175">
        <v>15</v>
      </c>
      <c r="AC16" s="175">
        <v>15</v>
      </c>
      <c r="AD16" s="175">
        <v>15</v>
      </c>
      <c r="AE16" s="287">
        <v>15</v>
      </c>
    </row>
    <row r="17" spans="1:31" ht="60">
      <c r="A17" s="255" t="s">
        <v>225</v>
      </c>
      <c r="B17" s="175">
        <v>10</v>
      </c>
      <c r="C17" s="175">
        <v>10</v>
      </c>
      <c r="D17" s="175">
        <v>10</v>
      </c>
      <c r="E17" s="175">
        <v>10</v>
      </c>
      <c r="F17" s="175">
        <v>10</v>
      </c>
      <c r="G17" s="175">
        <v>10</v>
      </c>
      <c r="H17" s="175">
        <v>10</v>
      </c>
      <c r="I17" s="175">
        <v>10</v>
      </c>
      <c r="J17" s="175">
        <v>10</v>
      </c>
      <c r="K17" s="175">
        <v>10</v>
      </c>
      <c r="L17" s="175">
        <v>10</v>
      </c>
      <c r="M17" s="175">
        <v>10</v>
      </c>
      <c r="N17" s="175">
        <v>10</v>
      </c>
      <c r="O17" s="175">
        <v>10</v>
      </c>
      <c r="P17" s="175">
        <v>10</v>
      </c>
      <c r="Q17" s="175">
        <v>10</v>
      </c>
      <c r="R17" s="175">
        <v>10</v>
      </c>
      <c r="S17" s="175">
        <v>10</v>
      </c>
      <c r="T17" s="175">
        <v>10</v>
      </c>
      <c r="U17" s="175">
        <v>10</v>
      </c>
      <c r="V17" s="175">
        <v>10</v>
      </c>
      <c r="W17" s="175">
        <v>10</v>
      </c>
      <c r="X17" s="175">
        <v>10</v>
      </c>
      <c r="Y17" s="175">
        <v>10</v>
      </c>
      <c r="Z17" s="175">
        <v>10</v>
      </c>
      <c r="AA17" s="175">
        <v>10</v>
      </c>
      <c r="AB17" s="175">
        <v>10</v>
      </c>
      <c r="AC17" s="175">
        <v>10</v>
      </c>
      <c r="AD17" s="175">
        <v>10</v>
      </c>
      <c r="AE17" s="287">
        <v>10</v>
      </c>
    </row>
    <row r="18" spans="1:31" ht="75" customHeight="1">
      <c r="A18" s="256" t="s">
        <v>118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1"/>
      <c r="W18" s="261"/>
      <c r="X18" s="261"/>
      <c r="Y18" s="261"/>
      <c r="Z18" s="261"/>
      <c r="AA18" s="261"/>
      <c r="AB18" s="261"/>
      <c r="AC18" s="261"/>
      <c r="AD18" s="262"/>
      <c r="AE18" s="289"/>
    </row>
    <row r="19" spans="1:31" s="66" customFormat="1" ht="21" customHeight="1">
      <c r="A19" s="62" t="s">
        <v>88</v>
      </c>
      <c r="B19" s="126"/>
      <c r="C19" s="127"/>
      <c r="D19" s="127"/>
      <c r="E19" s="127"/>
      <c r="F19" s="126"/>
      <c r="G19" s="126"/>
      <c r="H19" s="126"/>
      <c r="I19" s="126"/>
      <c r="J19" s="126"/>
      <c r="K19" s="127"/>
      <c r="L19" s="127"/>
      <c r="M19" s="127"/>
      <c r="N19" s="127"/>
      <c r="O19" s="127"/>
      <c r="P19" s="126"/>
      <c r="Q19" s="126"/>
      <c r="R19" s="126"/>
      <c r="S19" s="126"/>
      <c r="T19" s="126"/>
      <c r="U19" s="127"/>
      <c r="V19" s="127"/>
      <c r="W19" s="128"/>
      <c r="X19" s="129"/>
      <c r="Y19" s="129"/>
      <c r="Z19" s="129"/>
      <c r="AA19" s="129"/>
      <c r="AB19" s="129"/>
      <c r="AC19" s="129"/>
      <c r="AD19" s="129"/>
      <c r="AE19" s="129"/>
    </row>
    <row r="20" spans="1:31" ht="16.5" customHeight="1">
      <c r="A20" s="200" t="s">
        <v>60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22"/>
      <c r="W20" s="122"/>
      <c r="X20" s="122"/>
      <c r="Y20" s="122"/>
      <c r="Z20" s="122"/>
      <c r="AA20" s="122"/>
      <c r="AB20" s="122"/>
      <c r="AC20" s="122"/>
      <c r="AD20" s="92"/>
      <c r="AE20" s="92"/>
    </row>
    <row r="21" spans="1:31" ht="15.75" customHeight="1">
      <c r="A21" s="258" t="s">
        <v>89</v>
      </c>
      <c r="B21" s="250">
        <v>12</v>
      </c>
      <c r="C21" s="130"/>
      <c r="D21" s="130"/>
      <c r="E21" s="250">
        <v>12</v>
      </c>
      <c r="F21" s="130"/>
      <c r="G21" s="130"/>
      <c r="H21" s="130"/>
      <c r="I21" s="130"/>
      <c r="J21" s="250">
        <v>12</v>
      </c>
      <c r="K21" s="130"/>
      <c r="L21" s="130"/>
      <c r="M21" s="130"/>
      <c r="N21" s="130"/>
      <c r="O21" s="250">
        <v>12</v>
      </c>
      <c r="P21" s="130"/>
      <c r="Q21" s="130"/>
      <c r="R21" s="130"/>
      <c r="S21" s="130"/>
      <c r="T21" s="250">
        <v>12</v>
      </c>
      <c r="U21" s="130"/>
      <c r="V21" s="122"/>
      <c r="W21" s="122"/>
      <c r="X21" s="122"/>
      <c r="Y21" s="250">
        <v>12</v>
      </c>
      <c r="Z21" s="122"/>
      <c r="AA21" s="122"/>
      <c r="AB21" s="122"/>
      <c r="AC21" s="122"/>
      <c r="AD21" s="250">
        <v>12</v>
      </c>
      <c r="AE21" s="92"/>
    </row>
    <row r="22" spans="1:31" ht="18" customHeight="1">
      <c r="A22" s="99" t="s">
        <v>59</v>
      </c>
      <c r="B22" s="260">
        <v>0.05</v>
      </c>
      <c r="C22" s="136"/>
      <c r="D22" s="136"/>
      <c r="E22" s="137"/>
      <c r="F22" s="136"/>
      <c r="G22" s="136"/>
      <c r="H22" s="136"/>
      <c r="I22" s="136"/>
      <c r="J22" s="137"/>
      <c r="K22" s="136"/>
      <c r="L22" s="136"/>
      <c r="M22" s="136"/>
      <c r="N22" s="136"/>
      <c r="O22" s="137"/>
      <c r="P22" s="136"/>
      <c r="Q22" s="136"/>
      <c r="R22" s="136"/>
      <c r="S22" s="136"/>
      <c r="T22" s="137"/>
      <c r="U22" s="136"/>
      <c r="V22" s="138"/>
      <c r="W22" s="138"/>
      <c r="X22" s="138"/>
      <c r="Y22" s="138"/>
      <c r="Z22" s="138"/>
      <c r="AA22" s="138"/>
      <c r="AB22" s="138"/>
      <c r="AC22" s="138"/>
      <c r="AD22" s="136"/>
      <c r="AE22" s="136"/>
    </row>
    <row r="23" spans="1:31" ht="32.25" customHeight="1">
      <c r="A23" s="99" t="s">
        <v>43</v>
      </c>
      <c r="B23" s="263"/>
      <c r="C23" s="263"/>
      <c r="D23" s="263"/>
      <c r="E23" s="13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8"/>
      <c r="W23" s="138"/>
      <c r="X23" s="138"/>
      <c r="Y23" s="138"/>
      <c r="Z23" s="138"/>
      <c r="AA23" s="138"/>
      <c r="AB23" s="138"/>
      <c r="AC23" s="138"/>
      <c r="AD23" s="136"/>
      <c r="AE23" s="136"/>
    </row>
    <row r="24" spans="1:31" ht="18.75" customHeight="1">
      <c r="A24" s="99" t="s">
        <v>42</v>
      </c>
      <c r="B24" s="264">
        <v>0.1</v>
      </c>
      <c r="C24" s="265">
        <v>0.11</v>
      </c>
      <c r="D24" s="265">
        <v>0.12</v>
      </c>
      <c r="E24" s="265">
        <v>0.13</v>
      </c>
      <c r="F24" s="265">
        <v>0.14</v>
      </c>
      <c r="G24" s="265">
        <v>0.15</v>
      </c>
      <c r="H24" s="265">
        <v>0.16</v>
      </c>
      <c r="I24" s="265">
        <v>0.17</v>
      </c>
      <c r="J24" s="265">
        <v>0.18</v>
      </c>
      <c r="K24" s="265">
        <v>0.19</v>
      </c>
      <c r="L24" s="265">
        <v>0.2</v>
      </c>
      <c r="M24" s="265">
        <v>0.21</v>
      </c>
      <c r="N24" s="265">
        <v>0.22</v>
      </c>
      <c r="O24" s="265">
        <v>0.23</v>
      </c>
      <c r="P24" s="265">
        <v>0.24</v>
      </c>
      <c r="Q24" s="265">
        <v>0.25</v>
      </c>
      <c r="R24" s="265">
        <v>0.26</v>
      </c>
      <c r="S24" s="265">
        <v>0.27</v>
      </c>
      <c r="T24" s="265">
        <v>0.28</v>
      </c>
      <c r="U24" s="265">
        <v>0.29</v>
      </c>
      <c r="V24" s="265">
        <v>0.3</v>
      </c>
      <c r="W24" s="265">
        <v>0.31</v>
      </c>
      <c r="X24" s="265">
        <v>0.32</v>
      </c>
      <c r="Y24" s="265">
        <v>0.33</v>
      </c>
      <c r="Z24" s="265">
        <v>0.34</v>
      </c>
      <c r="AA24" s="265">
        <v>0.35</v>
      </c>
      <c r="AB24" s="265">
        <v>0.36</v>
      </c>
      <c r="AC24" s="265">
        <v>0.37</v>
      </c>
      <c r="AD24" s="265">
        <v>0.38</v>
      </c>
      <c r="AE24" s="283">
        <v>0.39</v>
      </c>
    </row>
    <row r="25" spans="1:31" ht="18" customHeight="1">
      <c r="A25" s="99" t="s">
        <v>68</v>
      </c>
      <c r="B25" s="260">
        <v>0.01</v>
      </c>
      <c r="C25" s="271">
        <v>0.02</v>
      </c>
      <c r="D25" s="271">
        <v>0.03</v>
      </c>
      <c r="E25" s="271">
        <v>0.03</v>
      </c>
      <c r="F25" s="271">
        <v>0.03</v>
      </c>
      <c r="G25" s="271">
        <v>0.03</v>
      </c>
      <c r="H25" s="271">
        <v>0.03</v>
      </c>
      <c r="I25" s="271">
        <v>0.03</v>
      </c>
      <c r="J25" s="271">
        <v>0.03</v>
      </c>
      <c r="K25" s="271">
        <v>0.03</v>
      </c>
      <c r="L25" s="271">
        <v>0.03</v>
      </c>
      <c r="M25" s="271">
        <v>0.03</v>
      </c>
      <c r="N25" s="271">
        <v>0.03</v>
      </c>
      <c r="O25" s="271">
        <v>0.03</v>
      </c>
      <c r="P25" s="271">
        <v>0.03</v>
      </c>
      <c r="Q25" s="271">
        <v>0.03</v>
      </c>
      <c r="R25" s="271">
        <v>0.03</v>
      </c>
      <c r="S25" s="271">
        <v>0.03</v>
      </c>
      <c r="T25" s="271">
        <v>0.03</v>
      </c>
      <c r="U25" s="271">
        <v>0.03</v>
      </c>
      <c r="V25" s="271">
        <v>0.03</v>
      </c>
      <c r="W25" s="271">
        <v>0.03</v>
      </c>
      <c r="X25" s="271">
        <v>0.03</v>
      </c>
      <c r="Y25" s="271">
        <v>0.03</v>
      </c>
      <c r="Z25" s="271">
        <v>0.03</v>
      </c>
      <c r="AA25" s="271">
        <v>0.03</v>
      </c>
      <c r="AB25" s="271">
        <v>0.03</v>
      </c>
      <c r="AC25" s="271">
        <v>0.03</v>
      </c>
      <c r="AD25" s="271">
        <v>0.03</v>
      </c>
      <c r="AE25" s="290">
        <v>0.03</v>
      </c>
    </row>
    <row r="26" spans="1:31" ht="48.75" customHeight="1">
      <c r="A26" s="182" t="s">
        <v>238</v>
      </c>
      <c r="B26" s="264">
        <v>0.1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72"/>
      <c r="W26" s="272"/>
      <c r="X26" s="272"/>
      <c r="Y26" s="272"/>
      <c r="Z26" s="272"/>
      <c r="AA26" s="272"/>
      <c r="AB26" s="272"/>
      <c r="AC26" s="272"/>
      <c r="AD26" s="264"/>
      <c r="AE26" s="285"/>
    </row>
    <row r="27" spans="1:31" ht="61.5" customHeight="1">
      <c r="A27" s="182" t="s">
        <v>237</v>
      </c>
      <c r="B27" s="273">
        <v>12</v>
      </c>
      <c r="C27" s="273">
        <v>12</v>
      </c>
      <c r="D27" s="273">
        <v>12</v>
      </c>
      <c r="E27" s="273">
        <v>12</v>
      </c>
      <c r="F27" s="273">
        <v>12</v>
      </c>
      <c r="G27" s="273">
        <v>12</v>
      </c>
      <c r="H27" s="273">
        <v>12</v>
      </c>
      <c r="I27" s="273">
        <v>12</v>
      </c>
      <c r="J27" s="273">
        <v>12</v>
      </c>
      <c r="K27" s="273">
        <v>12</v>
      </c>
      <c r="L27" s="273">
        <v>12</v>
      </c>
      <c r="M27" s="273">
        <v>12</v>
      </c>
      <c r="N27" s="273">
        <v>12</v>
      </c>
      <c r="O27" s="273">
        <v>12</v>
      </c>
      <c r="P27" s="273">
        <v>12</v>
      </c>
      <c r="Q27" s="273">
        <v>12</v>
      </c>
      <c r="R27" s="273">
        <v>12</v>
      </c>
      <c r="S27" s="273">
        <v>12</v>
      </c>
      <c r="T27" s="273">
        <v>12</v>
      </c>
      <c r="U27" s="273">
        <v>12</v>
      </c>
      <c r="V27" s="273">
        <v>12</v>
      </c>
      <c r="W27" s="273">
        <v>12</v>
      </c>
      <c r="X27" s="273">
        <v>12</v>
      </c>
      <c r="Y27" s="273">
        <v>12</v>
      </c>
      <c r="Z27" s="273">
        <v>12</v>
      </c>
      <c r="AA27" s="273">
        <v>12</v>
      </c>
      <c r="AB27" s="273">
        <v>12</v>
      </c>
      <c r="AC27" s="273">
        <v>12</v>
      </c>
      <c r="AD27" s="273">
        <v>12</v>
      </c>
      <c r="AE27" s="291">
        <v>12</v>
      </c>
    </row>
    <row r="28" spans="1:54" ht="45" customHeight="1">
      <c r="A28" s="182" t="s">
        <v>239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92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31" s="36" customFormat="1" ht="15">
      <c r="A29" s="252" t="s">
        <v>65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1"/>
      <c r="W29" s="251"/>
      <c r="X29" s="251"/>
      <c r="Y29" s="251"/>
      <c r="Z29" s="251"/>
      <c r="AA29" s="251"/>
      <c r="AB29" s="251"/>
      <c r="AC29" s="251"/>
      <c r="AD29" s="254"/>
      <c r="AE29" s="254"/>
    </row>
    <row r="30" spans="1:31" ht="63.75" customHeight="1">
      <c r="A30" s="99" t="s">
        <v>223</v>
      </c>
      <c r="B30" s="268">
        <v>1500</v>
      </c>
      <c r="C30" s="268">
        <v>1500</v>
      </c>
      <c r="D30" s="268">
        <v>1500</v>
      </c>
      <c r="E30" s="268">
        <v>1500</v>
      </c>
      <c r="F30" s="268">
        <v>1500</v>
      </c>
      <c r="G30" s="268">
        <v>1500</v>
      </c>
      <c r="H30" s="268">
        <v>1500</v>
      </c>
      <c r="I30" s="268">
        <v>1500</v>
      </c>
      <c r="J30" s="268">
        <v>1500</v>
      </c>
      <c r="K30" s="268">
        <v>1500</v>
      </c>
      <c r="L30" s="270">
        <v>2000</v>
      </c>
      <c r="M30" s="270">
        <v>2000</v>
      </c>
      <c r="N30" s="270">
        <v>2000</v>
      </c>
      <c r="O30" s="270">
        <v>2000</v>
      </c>
      <c r="P30" s="270">
        <v>2000</v>
      </c>
      <c r="Q30" s="270">
        <v>2000</v>
      </c>
      <c r="R30" s="270">
        <v>2000</v>
      </c>
      <c r="S30" s="270">
        <v>2000</v>
      </c>
      <c r="T30" s="270">
        <v>2000</v>
      </c>
      <c r="U30" s="270">
        <v>2000</v>
      </c>
      <c r="V30" s="270">
        <v>2000</v>
      </c>
      <c r="W30" s="270">
        <v>2000</v>
      </c>
      <c r="X30" s="270">
        <v>2000</v>
      </c>
      <c r="Y30" s="270">
        <v>2000</v>
      </c>
      <c r="Z30" s="270">
        <v>2000</v>
      </c>
      <c r="AA30" s="270">
        <v>2000</v>
      </c>
      <c r="AB30" s="270">
        <v>2000</v>
      </c>
      <c r="AC30" s="270">
        <v>2000</v>
      </c>
      <c r="AD30" s="270">
        <v>2000</v>
      </c>
      <c r="AE30" s="288">
        <v>2000</v>
      </c>
    </row>
    <row r="31" spans="1:31" ht="60">
      <c r="A31" s="255" t="s">
        <v>227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93"/>
    </row>
    <row r="32" spans="1:31" ht="60">
      <c r="A32" s="255" t="s">
        <v>226</v>
      </c>
      <c r="B32" s="175">
        <v>74</v>
      </c>
      <c r="C32" s="175">
        <v>74</v>
      </c>
      <c r="D32" s="175">
        <v>74</v>
      </c>
      <c r="E32" s="175">
        <v>74</v>
      </c>
      <c r="F32" s="175">
        <v>74</v>
      </c>
      <c r="G32" s="175">
        <v>74</v>
      </c>
      <c r="H32" s="175">
        <v>74</v>
      </c>
      <c r="I32" s="175">
        <v>74</v>
      </c>
      <c r="J32" s="175">
        <v>74</v>
      </c>
      <c r="K32" s="175">
        <v>74</v>
      </c>
      <c r="L32" s="175">
        <v>74</v>
      </c>
      <c r="M32" s="175">
        <v>74</v>
      </c>
      <c r="N32" s="175">
        <v>74</v>
      </c>
      <c r="O32" s="175">
        <v>74</v>
      </c>
      <c r="P32" s="175">
        <v>74</v>
      </c>
      <c r="Q32" s="175">
        <v>74</v>
      </c>
      <c r="R32" s="175">
        <v>74</v>
      </c>
      <c r="S32" s="175">
        <v>74</v>
      </c>
      <c r="T32" s="175">
        <v>74</v>
      </c>
      <c r="U32" s="175">
        <v>74</v>
      </c>
      <c r="V32" s="175">
        <v>74</v>
      </c>
      <c r="W32" s="175">
        <v>74</v>
      </c>
      <c r="X32" s="175">
        <v>74</v>
      </c>
      <c r="Y32" s="175">
        <v>74</v>
      </c>
      <c r="Z32" s="175">
        <v>74</v>
      </c>
      <c r="AA32" s="175">
        <v>74</v>
      </c>
      <c r="AB32" s="175">
        <v>74</v>
      </c>
      <c r="AC32" s="175">
        <v>74</v>
      </c>
      <c r="AD32" s="175">
        <v>74</v>
      </c>
      <c r="AE32" s="287">
        <v>74</v>
      </c>
    </row>
    <row r="33" spans="1:31" ht="64.5" customHeight="1">
      <c r="A33" s="255" t="s">
        <v>225</v>
      </c>
      <c r="B33" s="175">
        <v>10</v>
      </c>
      <c r="C33" s="175">
        <v>10</v>
      </c>
      <c r="D33" s="175">
        <v>10</v>
      </c>
      <c r="E33" s="175">
        <v>10</v>
      </c>
      <c r="F33" s="175">
        <v>10</v>
      </c>
      <c r="G33" s="175">
        <v>10</v>
      </c>
      <c r="H33" s="175">
        <v>10</v>
      </c>
      <c r="I33" s="175">
        <v>10</v>
      </c>
      <c r="J33" s="175">
        <v>10</v>
      </c>
      <c r="K33" s="175">
        <v>10</v>
      </c>
      <c r="L33" s="175">
        <v>10</v>
      </c>
      <c r="M33" s="175">
        <v>10</v>
      </c>
      <c r="N33" s="175">
        <v>10</v>
      </c>
      <c r="O33" s="175">
        <v>10</v>
      </c>
      <c r="P33" s="175">
        <v>10</v>
      </c>
      <c r="Q33" s="175">
        <v>10</v>
      </c>
      <c r="R33" s="175">
        <v>10</v>
      </c>
      <c r="S33" s="175">
        <v>10</v>
      </c>
      <c r="T33" s="175">
        <v>10</v>
      </c>
      <c r="U33" s="175">
        <v>10</v>
      </c>
      <c r="V33" s="175">
        <v>10</v>
      </c>
      <c r="W33" s="175">
        <v>10</v>
      </c>
      <c r="X33" s="175">
        <v>10</v>
      </c>
      <c r="Y33" s="175">
        <v>10</v>
      </c>
      <c r="Z33" s="175">
        <v>10</v>
      </c>
      <c r="AA33" s="175">
        <v>10</v>
      </c>
      <c r="AB33" s="175">
        <v>10</v>
      </c>
      <c r="AC33" s="175">
        <v>10</v>
      </c>
      <c r="AD33" s="175">
        <v>10</v>
      </c>
      <c r="AE33" s="287">
        <v>10</v>
      </c>
    </row>
    <row r="34" spans="1:31" ht="79.5" customHeight="1">
      <c r="A34" s="256" t="s">
        <v>91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1"/>
      <c r="W34" s="261"/>
      <c r="X34" s="261"/>
      <c r="Y34" s="261"/>
      <c r="Z34" s="261"/>
      <c r="AA34" s="261"/>
      <c r="AB34" s="261"/>
      <c r="AC34" s="261"/>
      <c r="AD34" s="262"/>
      <c r="AE34" s="289"/>
    </row>
    <row r="35" spans="1:31" s="66" customFormat="1" ht="21" customHeight="1">
      <c r="A35" s="62" t="s">
        <v>87</v>
      </c>
      <c r="B35" s="126"/>
      <c r="C35" s="127"/>
      <c r="D35" s="127"/>
      <c r="E35" s="127"/>
      <c r="F35" s="126"/>
      <c r="G35" s="126"/>
      <c r="H35" s="126"/>
      <c r="I35" s="126"/>
      <c r="J35" s="126"/>
      <c r="K35" s="127"/>
      <c r="L35" s="127"/>
      <c r="M35" s="127"/>
      <c r="N35" s="127"/>
      <c r="O35" s="127"/>
      <c r="P35" s="126"/>
      <c r="Q35" s="126"/>
      <c r="R35" s="126"/>
      <c r="S35" s="126"/>
      <c r="T35" s="126"/>
      <c r="U35" s="127"/>
      <c r="V35" s="127"/>
      <c r="W35" s="128"/>
      <c r="X35" s="129"/>
      <c r="Y35" s="129"/>
      <c r="Z35" s="129"/>
      <c r="AA35" s="129"/>
      <c r="AB35" s="129"/>
      <c r="AC35" s="129"/>
      <c r="AD35" s="129"/>
      <c r="AE35" s="129"/>
    </row>
    <row r="36" spans="1:31" ht="16.5" customHeight="1">
      <c r="A36" s="259" t="s">
        <v>60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22"/>
      <c r="W36" s="122"/>
      <c r="X36" s="122"/>
      <c r="Y36" s="122"/>
      <c r="Z36" s="122"/>
      <c r="AA36" s="122"/>
      <c r="AB36" s="122"/>
      <c r="AC36" s="122"/>
      <c r="AD36" s="92"/>
      <c r="AE36" s="92"/>
    </row>
    <row r="37" spans="1:31" ht="15.75" customHeight="1">
      <c r="A37" s="258" t="s">
        <v>89</v>
      </c>
      <c r="B37" s="250">
        <v>329</v>
      </c>
      <c r="C37" s="130"/>
      <c r="D37" s="130"/>
      <c r="E37" s="250">
        <v>325</v>
      </c>
      <c r="F37" s="130"/>
      <c r="G37" s="130"/>
      <c r="H37" s="130"/>
      <c r="I37" s="130"/>
      <c r="J37" s="250">
        <v>312</v>
      </c>
      <c r="K37" s="130"/>
      <c r="L37" s="130"/>
      <c r="M37" s="130"/>
      <c r="N37" s="130"/>
      <c r="O37" s="250">
        <v>299</v>
      </c>
      <c r="P37" s="130"/>
      <c r="Q37" s="130"/>
      <c r="R37" s="130"/>
      <c r="S37" s="130"/>
      <c r="T37" s="250">
        <v>285</v>
      </c>
      <c r="U37" s="130"/>
      <c r="V37" s="122"/>
      <c r="W37" s="122"/>
      <c r="X37" s="122"/>
      <c r="Y37" s="261">
        <v>271</v>
      </c>
      <c r="Z37" s="122"/>
      <c r="AA37" s="122"/>
      <c r="AB37" s="122"/>
      <c r="AC37" s="122"/>
      <c r="AD37" s="262">
        <v>258</v>
      </c>
      <c r="AE37" s="92"/>
    </row>
    <row r="38" spans="1:31" ht="15">
      <c r="A38" s="99" t="s">
        <v>59</v>
      </c>
      <c r="B38" s="260"/>
      <c r="C38" s="136"/>
      <c r="D38" s="136"/>
      <c r="E38" s="133"/>
      <c r="F38" s="132"/>
      <c r="G38" s="132"/>
      <c r="H38" s="132"/>
      <c r="I38" s="132"/>
      <c r="J38" s="133"/>
      <c r="K38" s="132"/>
      <c r="L38" s="132"/>
      <c r="M38" s="132"/>
      <c r="N38" s="132"/>
      <c r="O38" s="133"/>
      <c r="P38" s="132"/>
      <c r="Q38" s="132"/>
      <c r="R38" s="132"/>
      <c r="S38" s="132"/>
      <c r="T38" s="133"/>
      <c r="U38" s="132"/>
      <c r="V38" s="122"/>
      <c r="W38" s="122"/>
      <c r="X38" s="122"/>
      <c r="Y38" s="122"/>
      <c r="Z38" s="122"/>
      <c r="AA38" s="122"/>
      <c r="AB38" s="122"/>
      <c r="AC38" s="122"/>
      <c r="AD38" s="92"/>
      <c r="AE38" s="92"/>
    </row>
    <row r="39" spans="1:31" ht="30.75" customHeight="1">
      <c r="A39" s="99" t="s">
        <v>43</v>
      </c>
      <c r="B39" s="263"/>
      <c r="C39" s="263"/>
      <c r="D39" s="263"/>
      <c r="E39" s="134"/>
      <c r="F39" s="135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122"/>
      <c r="W39" s="122"/>
      <c r="X39" s="122"/>
      <c r="Y39" s="122"/>
      <c r="Z39" s="122"/>
      <c r="AA39" s="122"/>
      <c r="AB39" s="122"/>
      <c r="AC39" s="122"/>
      <c r="AD39" s="92"/>
      <c r="AE39" s="92"/>
    </row>
    <row r="40" spans="1:31" ht="20.25" customHeight="1">
      <c r="A40" s="99" t="s">
        <v>42</v>
      </c>
      <c r="B40" s="264">
        <v>0.01</v>
      </c>
      <c r="C40" s="265">
        <v>0.02</v>
      </c>
      <c r="D40" s="265">
        <v>0.03</v>
      </c>
      <c r="E40" s="265">
        <v>0.04</v>
      </c>
      <c r="F40" s="265">
        <v>0.05</v>
      </c>
      <c r="G40" s="265">
        <v>0.06</v>
      </c>
      <c r="H40" s="265">
        <v>0.07</v>
      </c>
      <c r="I40" s="265">
        <v>0.08</v>
      </c>
      <c r="J40" s="265">
        <v>0.09</v>
      </c>
      <c r="K40" s="265">
        <v>0.1</v>
      </c>
      <c r="L40" s="265">
        <v>0.11</v>
      </c>
      <c r="M40" s="265">
        <v>0.12</v>
      </c>
      <c r="N40" s="265">
        <v>0.13</v>
      </c>
      <c r="O40" s="265">
        <v>0.14</v>
      </c>
      <c r="P40" s="265">
        <v>0.15</v>
      </c>
      <c r="Q40" s="265">
        <v>0.16</v>
      </c>
      <c r="R40" s="265">
        <v>0.17</v>
      </c>
      <c r="S40" s="265">
        <v>0.18</v>
      </c>
      <c r="T40" s="265">
        <v>0.19</v>
      </c>
      <c r="U40" s="265">
        <v>0.2</v>
      </c>
      <c r="V40" s="265">
        <v>0.21</v>
      </c>
      <c r="W40" s="265">
        <v>0.22</v>
      </c>
      <c r="X40" s="265">
        <v>0.23</v>
      </c>
      <c r="Y40" s="265">
        <v>0.24</v>
      </c>
      <c r="Z40" s="265">
        <v>0.25</v>
      </c>
      <c r="AA40" s="265">
        <v>0.26</v>
      </c>
      <c r="AB40" s="265">
        <v>0.27</v>
      </c>
      <c r="AC40" s="265">
        <v>0.28</v>
      </c>
      <c r="AD40" s="265">
        <v>0.29</v>
      </c>
      <c r="AE40" s="283">
        <v>0.3</v>
      </c>
    </row>
    <row r="41" spans="1:31" ht="15" customHeight="1">
      <c r="A41" s="99" t="s">
        <v>68</v>
      </c>
      <c r="B41" s="260">
        <v>0.051</v>
      </c>
      <c r="C41" s="266">
        <v>0.06</v>
      </c>
      <c r="D41" s="266">
        <v>0.081</v>
      </c>
      <c r="E41" s="266">
        <v>0.12</v>
      </c>
      <c r="F41" s="266">
        <v>0.11</v>
      </c>
      <c r="G41" s="266">
        <v>0.157</v>
      </c>
      <c r="H41" s="266">
        <v>0.228</v>
      </c>
      <c r="I41" s="266">
        <v>0.29</v>
      </c>
      <c r="J41" s="266">
        <v>0.325</v>
      </c>
      <c r="K41" s="266">
        <v>0.301</v>
      </c>
      <c r="L41" s="266">
        <v>0.276</v>
      </c>
      <c r="M41" s="266">
        <v>0.356</v>
      </c>
      <c r="N41" s="266">
        <v>0.353</v>
      </c>
      <c r="O41" s="266">
        <v>0.434</v>
      </c>
      <c r="P41" s="266">
        <v>0.415</v>
      </c>
      <c r="Q41" s="266">
        <v>0.385</v>
      </c>
      <c r="R41" s="266">
        <v>0.36</v>
      </c>
      <c r="S41" s="266">
        <v>0.356</v>
      </c>
      <c r="T41" s="266">
        <v>0.334</v>
      </c>
      <c r="U41" s="266">
        <v>0.334</v>
      </c>
      <c r="V41" s="266">
        <v>0.309</v>
      </c>
      <c r="W41" s="266">
        <v>0.285</v>
      </c>
      <c r="X41" s="266">
        <v>0.263</v>
      </c>
      <c r="Y41" s="266">
        <v>0.241</v>
      </c>
      <c r="Z41" s="266">
        <v>0.221</v>
      </c>
      <c r="AA41" s="266">
        <v>0.201</v>
      </c>
      <c r="AB41" s="266">
        <v>0.182</v>
      </c>
      <c r="AC41" s="266">
        <v>0.176</v>
      </c>
      <c r="AD41" s="266">
        <v>0.158</v>
      </c>
      <c r="AE41" s="294">
        <v>0.141</v>
      </c>
    </row>
    <row r="42" spans="1:54" ht="30" customHeight="1">
      <c r="A42" s="99" t="s">
        <v>242</v>
      </c>
      <c r="B42" s="267">
        <v>0.56</v>
      </c>
      <c r="C42" s="267">
        <v>0.56</v>
      </c>
      <c r="D42" s="267">
        <v>0.56</v>
      </c>
      <c r="E42" s="267">
        <v>0.55</v>
      </c>
      <c r="F42" s="267">
        <v>0.55</v>
      </c>
      <c r="G42" s="267">
        <v>0.54</v>
      </c>
      <c r="H42" s="267">
        <v>0.54</v>
      </c>
      <c r="I42" s="267">
        <v>0.53</v>
      </c>
      <c r="J42" s="267">
        <v>0.53</v>
      </c>
      <c r="K42" s="267">
        <v>0.52</v>
      </c>
      <c r="L42" s="267">
        <v>0.51</v>
      </c>
      <c r="M42" s="267">
        <v>0.51</v>
      </c>
      <c r="N42" s="267">
        <v>0.5</v>
      </c>
      <c r="O42" s="267">
        <v>0.5</v>
      </c>
      <c r="P42" s="267">
        <v>0.49</v>
      </c>
      <c r="Q42" s="267">
        <v>0.49</v>
      </c>
      <c r="R42" s="267">
        <v>0.48</v>
      </c>
      <c r="S42" s="267">
        <v>0.48</v>
      </c>
      <c r="T42" s="267">
        <v>0.47</v>
      </c>
      <c r="U42" s="267">
        <v>0.47</v>
      </c>
      <c r="V42" s="261">
        <v>0.46</v>
      </c>
      <c r="W42" s="261">
        <v>0.46</v>
      </c>
      <c r="X42" s="261">
        <v>0.45</v>
      </c>
      <c r="Y42" s="261">
        <v>0.45</v>
      </c>
      <c r="Z42" s="261">
        <v>0.44</v>
      </c>
      <c r="AA42" s="261">
        <v>0.44</v>
      </c>
      <c r="AB42" s="261">
        <v>0.44</v>
      </c>
      <c r="AC42" s="261">
        <v>0.43</v>
      </c>
      <c r="AD42" s="261">
        <v>0.43</v>
      </c>
      <c r="AE42" s="295">
        <v>0.43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31" s="36" customFormat="1" ht="15">
      <c r="A43" s="252" t="s">
        <v>65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1"/>
      <c r="W43" s="251"/>
      <c r="X43" s="251"/>
      <c r="Y43" s="251"/>
      <c r="Z43" s="251"/>
      <c r="AA43" s="251"/>
      <c r="AB43" s="251"/>
      <c r="AC43" s="251"/>
      <c r="AD43" s="254"/>
      <c r="AE43" s="254"/>
    </row>
    <row r="44" spans="1:31" ht="62.25" customHeight="1">
      <c r="A44" s="99" t="s">
        <v>223</v>
      </c>
      <c r="B44" s="268">
        <f>B52</f>
        <v>85</v>
      </c>
      <c r="C44" s="268">
        <f>C52/'конкурсная документация'!D88</f>
        <v>918.1632000000001</v>
      </c>
      <c r="D44" s="268">
        <f>D52/'конкурсная документация'!E88</f>
        <v>925.909090909091</v>
      </c>
      <c r="E44" s="268">
        <f>E52/'конкурсная документация'!F88</f>
        <v>143.88722891566238</v>
      </c>
      <c r="F44" s="268">
        <f>F52/'конкурсная документация'!G88</f>
        <v>102.23236514522803</v>
      </c>
      <c r="G44" s="268">
        <f>G52/'конкурсная документация'!H88</f>
        <v>102.02390438246992</v>
      </c>
      <c r="H44" s="268">
        <f>H52/'конкурсная документация'!I88</f>
        <v>101.87478705281069</v>
      </c>
      <c r="I44" s="268">
        <f>I52/'конкурсная документация'!J88</f>
        <v>101.73656134591691</v>
      </c>
      <c r="J44" s="268">
        <f>J52/'конкурсная документация'!K88</f>
        <v>101.64831683168296</v>
      </c>
      <c r="K44" s="268">
        <f>K52/'конкурсная документация'!L88</f>
        <v>101.52716143840838</v>
      </c>
      <c r="L44" s="175">
        <f>L52/'конкурсная документация'!M88</f>
        <v>94.30854605993324</v>
      </c>
      <c r="M44" s="175">
        <f>M52/'конкурсная документация'!N88</f>
        <v>207.65609887157405</v>
      </c>
      <c r="N44" s="175">
        <f>N52/'конкурсная документация'!O88</f>
        <v>228.71507991660826</v>
      </c>
      <c r="O44" s="175">
        <f>O52/'конкурсная документация'!P88</f>
        <v>341.1859601754971</v>
      </c>
      <c r="P44" s="175">
        <f>P52/'конкурсная документация'!Q88</f>
        <v>348.66095181791235</v>
      </c>
      <c r="Q44" s="175">
        <f>Q52/'конкурсная документация'!R88</f>
        <v>397.3000958772763</v>
      </c>
      <c r="R44" s="175">
        <f>R52/'конкурсная документация'!S88</f>
        <v>440.43732503887935</v>
      </c>
      <c r="S44" s="175">
        <f>S52/'конкурсная документация'!T88</f>
        <v>428.57324455205725</v>
      </c>
      <c r="T44" s="175">
        <f>T52/'конкурсная документация'!U88</f>
        <v>420.1714285714277</v>
      </c>
      <c r="U44" s="175">
        <f>U52/'конкурсная документация'!V88</f>
        <v>434.9982798165128</v>
      </c>
      <c r="V44" s="175">
        <f>V52/'конкурсная документация'!W88</f>
        <v>423.27567929476004</v>
      </c>
      <c r="W44" s="175">
        <f>W52/'конкурсная документация'!X88</f>
        <v>411.9221371558878</v>
      </c>
      <c r="X44" s="175">
        <f>X52/'конкурсная документация'!Y88</f>
        <v>400.86499339497936</v>
      </c>
      <c r="Y44" s="175">
        <f>Y52/'конкурсная документация'!Z88</f>
        <v>390.09988558793583</v>
      </c>
      <c r="Z44" s="175">
        <f>Z52/'конкурсная документация'!AA88</f>
        <v>379.6297964330743</v>
      </c>
      <c r="AA44" s="175">
        <f>AA52/'конкурсная документация'!AB88</f>
        <v>369.43608473338134</v>
      </c>
      <c r="AB44" s="175">
        <f>AB52/'конкурсная документация'!AC88</f>
        <v>359.5265627221452</v>
      </c>
      <c r="AC44" s="175">
        <f>AC52/'конкурсная документация'!AD88</f>
        <v>361.5523682147297</v>
      </c>
      <c r="AD44" s="175">
        <f>AD52/'конкурсная документация'!AE88</f>
        <v>351.8470811584699</v>
      </c>
      <c r="AE44" s="287">
        <f>AE52/'конкурсная документация'!AF88</f>
        <v>342.4127538763916</v>
      </c>
    </row>
    <row r="45" spans="1:31" ht="60">
      <c r="A45" s="255" t="s">
        <v>227</v>
      </c>
      <c r="B45" s="269">
        <v>10</v>
      </c>
      <c r="C45" s="269">
        <v>10</v>
      </c>
      <c r="D45" s="269">
        <v>10</v>
      </c>
      <c r="E45" s="269">
        <v>10</v>
      </c>
      <c r="F45" s="269">
        <v>10</v>
      </c>
      <c r="G45" s="269">
        <v>10</v>
      </c>
      <c r="H45" s="269">
        <v>10</v>
      </c>
      <c r="I45" s="269">
        <v>10</v>
      </c>
      <c r="J45" s="269">
        <v>10</v>
      </c>
      <c r="K45" s="269">
        <v>10</v>
      </c>
      <c r="L45" s="269">
        <v>10</v>
      </c>
      <c r="M45" s="269">
        <v>10</v>
      </c>
      <c r="N45" s="269">
        <v>10</v>
      </c>
      <c r="O45" s="269">
        <v>10</v>
      </c>
      <c r="P45" s="269">
        <v>10</v>
      </c>
      <c r="Q45" s="269">
        <v>10</v>
      </c>
      <c r="R45" s="269">
        <v>10</v>
      </c>
      <c r="S45" s="269">
        <v>10</v>
      </c>
      <c r="T45" s="269">
        <v>10</v>
      </c>
      <c r="U45" s="269">
        <v>10</v>
      </c>
      <c r="V45" s="269">
        <v>10</v>
      </c>
      <c r="W45" s="269">
        <v>10</v>
      </c>
      <c r="X45" s="269">
        <v>10</v>
      </c>
      <c r="Y45" s="269">
        <v>10</v>
      </c>
      <c r="Z45" s="269">
        <v>10</v>
      </c>
      <c r="AA45" s="269">
        <v>10</v>
      </c>
      <c r="AB45" s="269">
        <v>10</v>
      </c>
      <c r="AC45" s="269">
        <v>10</v>
      </c>
      <c r="AD45" s="269">
        <v>10</v>
      </c>
      <c r="AE45" s="293">
        <v>10</v>
      </c>
    </row>
    <row r="46" spans="1:31" ht="60">
      <c r="A46" s="255" t="s">
        <v>226</v>
      </c>
      <c r="B46" s="175">
        <v>4.5</v>
      </c>
      <c r="C46" s="175">
        <v>4.5</v>
      </c>
      <c r="D46" s="175">
        <v>4.5</v>
      </c>
      <c r="E46" s="175">
        <v>4.5</v>
      </c>
      <c r="F46" s="175">
        <v>4.5</v>
      </c>
      <c r="G46" s="175">
        <v>4.5</v>
      </c>
      <c r="H46" s="175">
        <v>4.5</v>
      </c>
      <c r="I46" s="175">
        <v>4.5</v>
      </c>
      <c r="J46" s="175">
        <v>4.5</v>
      </c>
      <c r="K46" s="175">
        <v>4.5</v>
      </c>
      <c r="L46" s="175">
        <v>4.5</v>
      </c>
      <c r="M46" s="175">
        <v>4.5</v>
      </c>
      <c r="N46" s="175">
        <v>4.5</v>
      </c>
      <c r="O46" s="175">
        <v>4.5</v>
      </c>
      <c r="P46" s="175">
        <v>4.5</v>
      </c>
      <c r="Q46" s="175">
        <v>4.5</v>
      </c>
      <c r="R46" s="175">
        <v>4.5</v>
      </c>
      <c r="S46" s="175">
        <v>4.5</v>
      </c>
      <c r="T46" s="175">
        <v>4.5</v>
      </c>
      <c r="U46" s="175">
        <v>4.5</v>
      </c>
      <c r="V46" s="175">
        <v>4.5</v>
      </c>
      <c r="W46" s="175">
        <v>4.5</v>
      </c>
      <c r="X46" s="175">
        <v>4.5</v>
      </c>
      <c r="Y46" s="175">
        <v>4.5</v>
      </c>
      <c r="Z46" s="175">
        <v>4.5</v>
      </c>
      <c r="AA46" s="175">
        <v>4.5</v>
      </c>
      <c r="AB46" s="175">
        <v>4.5</v>
      </c>
      <c r="AC46" s="175">
        <v>4.5</v>
      </c>
      <c r="AD46" s="175">
        <v>4.5</v>
      </c>
      <c r="AE46" s="287">
        <v>4.5</v>
      </c>
    </row>
    <row r="47" spans="1:31" ht="62.25" customHeight="1">
      <c r="A47" s="255" t="s">
        <v>225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287"/>
    </row>
    <row r="48" spans="1:31" ht="72" customHeight="1">
      <c r="A48" s="256" t="s">
        <v>91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1"/>
      <c r="W48" s="261"/>
      <c r="X48" s="261"/>
      <c r="Y48" s="261"/>
      <c r="Z48" s="261"/>
      <c r="AA48" s="261"/>
      <c r="AB48" s="261"/>
      <c r="AC48" s="261"/>
      <c r="AD48" s="262"/>
      <c r="AE48" s="289"/>
    </row>
    <row r="49" spans="1:29" ht="46.5" customHeight="1">
      <c r="A49" s="56" t="s">
        <v>90</v>
      </c>
      <c r="B49" s="88"/>
      <c r="C49" s="88"/>
      <c r="D49" s="88"/>
      <c r="E49" s="88"/>
      <c r="F49" s="88"/>
      <c r="G49" s="117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/>
      <c r="W49" s="34"/>
      <c r="X49" s="34"/>
      <c r="Y49" s="34"/>
      <c r="Z49" s="34"/>
      <c r="AA49" s="34"/>
      <c r="AB49" s="34"/>
      <c r="AC49" s="34"/>
    </row>
    <row r="50" spans="2:29" ht="15">
      <c r="B50" s="39"/>
      <c r="C50" s="15"/>
      <c r="D50" s="15"/>
      <c r="E50" s="39"/>
      <c r="F50" s="15"/>
      <c r="G50" s="15"/>
      <c r="H50" s="15"/>
      <c r="I50" s="15"/>
      <c r="J50" s="39"/>
      <c r="K50" s="15"/>
      <c r="L50" s="15"/>
      <c r="M50" s="15"/>
      <c r="N50" s="37"/>
      <c r="O50" s="39"/>
      <c r="P50" s="15"/>
      <c r="Q50" s="15"/>
      <c r="R50" s="15"/>
      <c r="S50" s="37"/>
      <c r="T50" s="39"/>
      <c r="U50" s="15"/>
      <c r="V50" s="34"/>
      <c r="W50" s="34"/>
      <c r="X50" s="50"/>
      <c r="Y50" s="52"/>
      <c r="Z50" s="34"/>
      <c r="AA50" s="34"/>
      <c r="AB50" s="34"/>
      <c r="AC50" s="50"/>
    </row>
    <row r="51" spans="1:31" ht="15">
      <c r="A51" s="16" t="s">
        <v>193</v>
      </c>
      <c r="B51" s="120">
        <v>250</v>
      </c>
      <c r="C51" s="120">
        <v>439</v>
      </c>
      <c r="D51" s="120">
        <v>481</v>
      </c>
      <c r="E51" s="120">
        <v>338</v>
      </c>
      <c r="F51" s="120">
        <v>115</v>
      </c>
      <c r="G51" s="131">
        <v>120</v>
      </c>
      <c r="H51" s="131">
        <v>124</v>
      </c>
      <c r="I51" s="131">
        <v>129</v>
      </c>
      <c r="J51" s="131">
        <v>133</v>
      </c>
      <c r="K51" s="131">
        <v>138</v>
      </c>
      <c r="L51" s="133">
        <v>143</v>
      </c>
      <c r="M51" s="133">
        <v>386</v>
      </c>
      <c r="N51" s="133">
        <v>515</v>
      </c>
      <c r="O51" s="133">
        <v>515</v>
      </c>
      <c r="P51" s="133">
        <v>515</v>
      </c>
      <c r="Q51" s="133">
        <v>515</v>
      </c>
      <c r="R51" s="133">
        <v>515</v>
      </c>
      <c r="S51" s="133">
        <v>515</v>
      </c>
      <c r="T51" s="133">
        <v>515</v>
      </c>
      <c r="U51" s="133">
        <v>515</v>
      </c>
      <c r="V51" s="133">
        <v>515</v>
      </c>
      <c r="W51" s="133">
        <v>515</v>
      </c>
      <c r="X51" s="133">
        <v>515</v>
      </c>
      <c r="Y51" s="133">
        <v>515</v>
      </c>
      <c r="Z51" s="133">
        <v>567</v>
      </c>
      <c r="AA51" s="133">
        <v>618</v>
      </c>
      <c r="AB51" s="133">
        <v>618</v>
      </c>
      <c r="AC51" s="133">
        <v>618</v>
      </c>
      <c r="AD51" s="133">
        <v>670</v>
      </c>
      <c r="AE51" s="133">
        <v>676</v>
      </c>
    </row>
    <row r="52" spans="1:54" s="15" customFormat="1" ht="15">
      <c r="A52" s="16" t="s">
        <v>194</v>
      </c>
      <c r="B52" s="120">
        <v>85</v>
      </c>
      <c r="C52" s="120">
        <v>986</v>
      </c>
      <c r="D52" s="120">
        <v>1050</v>
      </c>
      <c r="E52" s="120">
        <v>171</v>
      </c>
      <c r="F52" s="120">
        <v>127</v>
      </c>
      <c r="G52" s="131">
        <v>132</v>
      </c>
      <c r="H52" s="131">
        <v>137</v>
      </c>
      <c r="I52" s="131">
        <v>142</v>
      </c>
      <c r="J52" s="131">
        <v>147</v>
      </c>
      <c r="K52" s="131">
        <v>152</v>
      </c>
      <c r="L52" s="133">
        <v>146</v>
      </c>
      <c r="M52" s="133">
        <v>332</v>
      </c>
      <c r="N52" s="133">
        <v>377</v>
      </c>
      <c r="O52" s="133">
        <v>579</v>
      </c>
      <c r="P52" s="133">
        <v>608</v>
      </c>
      <c r="Q52" s="133">
        <v>712</v>
      </c>
      <c r="R52" s="133">
        <v>811</v>
      </c>
      <c r="S52" s="133">
        <v>811</v>
      </c>
      <c r="T52" s="133">
        <v>817</v>
      </c>
      <c r="U52" s="133">
        <v>869</v>
      </c>
      <c r="V52" s="133">
        <v>869</v>
      </c>
      <c r="W52" s="133">
        <v>869</v>
      </c>
      <c r="X52" s="133">
        <v>869</v>
      </c>
      <c r="Y52" s="133">
        <v>869</v>
      </c>
      <c r="Z52" s="133">
        <v>869</v>
      </c>
      <c r="AA52" s="133">
        <v>869</v>
      </c>
      <c r="AB52" s="133">
        <v>869</v>
      </c>
      <c r="AC52" s="133">
        <v>898</v>
      </c>
      <c r="AD52" s="133">
        <v>898</v>
      </c>
      <c r="AE52" s="133">
        <v>898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s="15" customFormat="1" ht="15">
      <c r="A53" s="16"/>
      <c r="B53" s="39"/>
      <c r="E53" s="39"/>
      <c r="J53" s="39"/>
      <c r="N53" s="37"/>
      <c r="O53" s="39"/>
      <c r="S53" s="37"/>
      <c r="T53" s="39"/>
      <c r="W53" s="16"/>
      <c r="X53" s="49"/>
      <c r="Y53" s="51"/>
      <c r="Z53" s="16"/>
      <c r="AA53" s="16"/>
      <c r="AB53" s="16"/>
      <c r="AC53" s="49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</sheetData>
  <sheetProtection insertColumns="0" insertRows="0" insertHyperlinks="0" deleteColumns="0" deleteRows="0" selectLockedCells="1" pivotTables="0" selectUnlockedCells="1"/>
  <mergeCells count="6">
    <mergeCell ref="O2:S2"/>
    <mergeCell ref="E2:I2"/>
    <mergeCell ref="B2:D2"/>
    <mergeCell ref="J2:N2"/>
    <mergeCell ref="T2:X2"/>
    <mergeCell ref="Y2:AC2"/>
  </mergeCells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80" r:id="rId1"/>
  <rowBreaks count="2" manualBreakCount="2">
    <brk id="18" max="30" man="1"/>
    <brk id="34" max="30" man="1"/>
  </rowBreaks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5"/>
  <sheetViews>
    <sheetView view="pageBreakPreview" zoomScaleNormal="75" zoomScaleSheetLayoutView="100"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40.421875" style="3" customWidth="1"/>
    <col min="2" max="2" width="12.00390625" style="11" customWidth="1"/>
    <col min="3" max="3" width="13.28125" style="11" customWidth="1"/>
    <col min="4" max="4" width="11.8515625" style="11" customWidth="1"/>
    <col min="5" max="13" width="10.8515625" style="11" customWidth="1"/>
    <col min="14" max="14" width="11.57421875" style="11" customWidth="1"/>
    <col min="15" max="21" width="10.8515625" style="11" customWidth="1"/>
    <col min="22" max="22" width="10.28125" style="11" customWidth="1"/>
    <col min="23" max="23" width="9.28125" style="8" customWidth="1"/>
    <col min="24" max="25" width="11.00390625" style="1" customWidth="1"/>
    <col min="26" max="26" width="11.00390625" style="58" customWidth="1"/>
    <col min="27" max="30" width="11.00390625" style="1" customWidth="1"/>
    <col min="31" max="31" width="11.00390625" style="58" customWidth="1"/>
    <col min="32" max="32" width="11.00390625" style="1" customWidth="1"/>
    <col min="33" max="16384" width="9.140625" style="31" customWidth="1"/>
  </cols>
  <sheetData>
    <row r="1" spans="1:22" ht="15" hidden="1">
      <c r="A1" s="2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hidden="1">
      <c r="A2" s="3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hidden="1">
      <c r="A3" s="4" t="s">
        <v>27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1" ht="15">
      <c r="A4" s="4"/>
      <c r="B4" s="8"/>
      <c r="C4" s="11" t="s">
        <v>29</v>
      </c>
      <c r="F4" s="8" t="s">
        <v>30</v>
      </c>
      <c r="G4" s="8"/>
      <c r="H4" s="8"/>
      <c r="I4" s="8"/>
      <c r="J4" s="8"/>
      <c r="K4" s="11" t="s">
        <v>31</v>
      </c>
      <c r="N4" s="8"/>
      <c r="O4" s="8"/>
      <c r="P4" s="8" t="s">
        <v>32</v>
      </c>
      <c r="Q4" s="8"/>
      <c r="R4" s="8"/>
      <c r="S4" s="8"/>
      <c r="T4" s="8"/>
      <c r="U4" s="11" t="s">
        <v>33</v>
      </c>
      <c r="Z4" s="11" t="s">
        <v>82</v>
      </c>
      <c r="AE4" s="11" t="s">
        <v>98</v>
      </c>
    </row>
    <row r="5" spans="1:33" ht="18.75" customHeight="1">
      <c r="A5" s="60" t="s">
        <v>100</v>
      </c>
      <c r="B5" s="93">
        <v>0</v>
      </c>
      <c r="C5" s="94">
        <v>1</v>
      </c>
      <c r="D5" s="94">
        <v>2</v>
      </c>
      <c r="E5" s="94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4">
        <v>19</v>
      </c>
      <c r="V5" s="94">
        <v>20</v>
      </c>
      <c r="W5" s="94">
        <v>21</v>
      </c>
      <c r="X5" s="94">
        <v>22</v>
      </c>
      <c r="Y5" s="94">
        <v>23</v>
      </c>
      <c r="Z5" s="95">
        <v>24</v>
      </c>
      <c r="AA5" s="96">
        <v>25</v>
      </c>
      <c r="AB5" s="96">
        <v>26</v>
      </c>
      <c r="AC5" s="96">
        <v>27</v>
      </c>
      <c r="AD5" s="96">
        <v>28</v>
      </c>
      <c r="AE5" s="97">
        <v>29</v>
      </c>
      <c r="AF5" s="94">
        <v>30</v>
      </c>
      <c r="AG5" s="31">
        <v>31</v>
      </c>
    </row>
    <row r="6" spans="1:32" s="157" customFormat="1" ht="48.75" customHeight="1">
      <c r="A6" s="179" t="s">
        <v>232</v>
      </c>
      <c r="B6" s="180"/>
      <c r="C6" s="181"/>
      <c r="D6" s="181"/>
      <c r="E6" s="181"/>
      <c r="F6" s="180"/>
      <c r="G6" s="180"/>
      <c r="H6" s="180"/>
      <c r="I6" s="180"/>
      <c r="J6" s="180"/>
      <c r="K6" s="181"/>
      <c r="L6" s="181"/>
      <c r="M6" s="181"/>
      <c r="N6" s="181"/>
      <c r="O6" s="181"/>
      <c r="P6" s="180"/>
      <c r="Q6" s="180"/>
      <c r="R6" s="180"/>
      <c r="S6" s="180"/>
      <c r="T6" s="180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1:55" s="170" customFormat="1" ht="121.5" customHeight="1">
      <c r="A7" s="182" t="s">
        <v>57</v>
      </c>
      <c r="B7" s="183">
        <v>1</v>
      </c>
      <c r="C7" s="233">
        <f>B7*(1+'конкурсная документация'!C18)</f>
        <v>1.07</v>
      </c>
      <c r="D7" s="233">
        <f>C7*(1+'конкурсная документация'!D18)</f>
        <v>1.1449</v>
      </c>
      <c r="E7" s="233">
        <f>D7*(1+'конкурсная документация'!E18)</f>
        <v>1.225043</v>
      </c>
      <c r="F7" s="233">
        <f>E7*(1+'конкурсная документация'!F18)</f>
        <v>1.3107960100000002</v>
      </c>
      <c r="G7" s="233">
        <f>F7*(1+'конкурсная документация'!G18)</f>
        <v>1.4025517307000004</v>
      </c>
      <c r="H7" s="233">
        <f>G7*(1+'конкурсная документация'!H18)</f>
        <v>1.5007303518490005</v>
      </c>
      <c r="I7" s="233">
        <f>H7*(1+'конкурсная документация'!I18)</f>
        <v>1.6057814764784306</v>
      </c>
      <c r="J7" s="233">
        <f>I7*(1+'конкурсная документация'!J18)</f>
        <v>1.718186179831921</v>
      </c>
      <c r="K7" s="233">
        <f>J7*(1+'конкурсная документация'!K18)</f>
        <v>1.8384592124201555</v>
      </c>
      <c r="L7" s="233">
        <f>K7*(1+'конкурсная документация'!L18)</f>
        <v>1.9671513572895665</v>
      </c>
      <c r="M7" s="233">
        <f>L7*(1+'конкурсная документация'!M18)</f>
        <v>2.1048519522998363</v>
      </c>
      <c r="N7" s="233">
        <f>M7*(1+'конкурсная документация'!N18)</f>
        <v>2.252191588960825</v>
      </c>
      <c r="O7" s="233">
        <f>N7*(1+'конкурсная документация'!O18)</f>
        <v>2.4098450001880827</v>
      </c>
      <c r="P7" s="233">
        <f>O7*(1+'конкурсная документация'!P18)</f>
        <v>2.5785341502012487</v>
      </c>
      <c r="Q7" s="233">
        <f>P7*(1+'конкурсная документация'!Q18)</f>
        <v>2.7590315407153363</v>
      </c>
      <c r="R7" s="233">
        <f>Q7*(1+'конкурсная документация'!R18)</f>
        <v>2.95216374856541</v>
      </c>
      <c r="S7" s="233">
        <f>R7*(1+'конкурсная документация'!S18)</f>
        <v>3.158815210964989</v>
      </c>
      <c r="T7" s="233">
        <f>S7*(1+'конкурсная документация'!T18)</f>
        <v>3.3799322757325387</v>
      </c>
      <c r="U7" s="233">
        <f>T7*(1+'конкурсная документация'!U18)</f>
        <v>3.616527535033817</v>
      </c>
      <c r="V7" s="233">
        <f>U7*(1+'конкурсная документация'!V18)</f>
        <v>3.8696844624861844</v>
      </c>
      <c r="W7" s="233">
        <f>V7*(1+'конкурсная документация'!W18)</f>
        <v>4.140562374860218</v>
      </c>
      <c r="X7" s="233">
        <f>W7*(1+'конкурсная документация'!X18)</f>
        <v>4.430401741100433</v>
      </c>
      <c r="Y7" s="233">
        <f>X7*(1+'конкурсная документация'!Y18)</f>
        <v>4.740529862977464</v>
      </c>
      <c r="Z7" s="233">
        <f>Y7*(1+'конкурсная документация'!Z18)</f>
        <v>5.072366953385887</v>
      </c>
      <c r="AA7" s="233">
        <f>Z7*(1+'конкурсная документация'!AA18)</f>
        <v>5.4274326401229</v>
      </c>
      <c r="AB7" s="233">
        <f>AA7*(1+'конкурсная документация'!AB18)</f>
        <v>5.807352924931504</v>
      </c>
      <c r="AC7" s="233">
        <f>AB7*(1+'конкурсная документация'!AC18)</f>
        <v>6.2138676296767095</v>
      </c>
      <c r="AD7" s="233">
        <f>AC7*(1+'конкурсная документация'!AD18)</f>
        <v>6.64883836375408</v>
      </c>
      <c r="AE7" s="233">
        <f>AD7*(1+'конкурсная документация'!AE18)</f>
        <v>7.1142570492168655</v>
      </c>
      <c r="AF7" s="233">
        <f>AE7*(1+'конкурсная документация'!AF18)</f>
        <v>7.6122550426620466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</row>
    <row r="8" spans="1:55" s="170" customFormat="1" ht="18" customHeight="1">
      <c r="A8" s="182" t="s">
        <v>231</v>
      </c>
      <c r="B8" s="183">
        <v>1</v>
      </c>
      <c r="C8" s="233">
        <f>B8*(1+'конкурсная документация'!C19)</f>
        <v>1.1</v>
      </c>
      <c r="D8" s="233">
        <f>C8*(1+'конкурсная документация'!D19)</f>
        <v>1.2210000000000003</v>
      </c>
      <c r="E8" s="233">
        <f>D8*(1+'конкурсная документация'!E19)</f>
        <v>1.2820500000000004</v>
      </c>
      <c r="F8" s="233">
        <f>E8*(1+'конкурсная документация'!F19)</f>
        <v>1.3717935000000006</v>
      </c>
      <c r="G8" s="233">
        <f>F8*(1+'конкурсная документация'!G19)</f>
        <v>1.4678190450000006</v>
      </c>
      <c r="H8" s="233">
        <f>G8*(1+'конкурсная документация'!H19)</f>
        <v>1.5705663781500008</v>
      </c>
      <c r="I8" s="233">
        <f>H8*(1+'конкурсная документация'!I19)</f>
        <v>1.680506024620501</v>
      </c>
      <c r="J8" s="233">
        <f>I8*(1+'конкурсная документация'!J19)</f>
        <v>1.7981414463439362</v>
      </c>
      <c r="K8" s="233">
        <f>J8*(1+'конкурсная документация'!K19)</f>
        <v>1.9240113475880118</v>
      </c>
      <c r="L8" s="233">
        <f>K8*(1+'конкурсная документация'!L19)</f>
        <v>2.0586921419191726</v>
      </c>
      <c r="M8" s="233">
        <f>L8*(1+'конкурсная документация'!M19)</f>
        <v>2.202800591853515</v>
      </c>
      <c r="N8" s="233">
        <f>M8*(1+'конкурсная документация'!N19)</f>
        <v>2.356996633283261</v>
      </c>
      <c r="O8" s="233">
        <f>N8*(1+'конкурсная документация'!O19)</f>
        <v>2.5219863976130896</v>
      </c>
      <c r="P8" s="233">
        <f>O8*(1+'конкурсная документация'!P19)</f>
        <v>2.698525445446006</v>
      </c>
      <c r="Q8" s="233">
        <f>P8*(1+'конкурсная документация'!Q19)</f>
        <v>2.8874222266272267</v>
      </c>
      <c r="R8" s="233">
        <f>Q8*(1+'конкурсная документация'!R19)</f>
        <v>3.089541782491133</v>
      </c>
      <c r="S8" s="233">
        <f>R8*(1+'конкурсная документация'!S19)</f>
        <v>3.3058097072655124</v>
      </c>
      <c r="T8" s="233">
        <f>S8*(1+'конкурсная документация'!T19)</f>
        <v>3.5372163867740984</v>
      </c>
      <c r="U8" s="233">
        <f>T8*(1+'конкурсная документация'!U19)</f>
        <v>3.7848215338482856</v>
      </c>
      <c r="V8" s="233">
        <f>U8*(1+'конкурсная документация'!V19)</f>
        <v>4.049759041217666</v>
      </c>
      <c r="W8" s="233">
        <f>V8*(1+'конкурсная документация'!W19)</f>
        <v>4.333242174102902</v>
      </c>
      <c r="X8" s="233">
        <f>W8*(1+'конкурсная документация'!X19)</f>
        <v>4.636569126290105</v>
      </c>
      <c r="Y8" s="233">
        <f>X8*(1+'конкурсная документация'!Y19)</f>
        <v>4.9611289651304125</v>
      </c>
      <c r="Z8" s="233">
        <f>Y8*(1+'конкурсная документация'!Z19)</f>
        <v>5.308407992689542</v>
      </c>
      <c r="AA8" s="233">
        <f>Z8*(1+'конкурсная документация'!AA19)</f>
        <v>5.67999655217781</v>
      </c>
      <c r="AB8" s="233">
        <f>AA8*(1+'конкурсная документация'!AB19)</f>
        <v>6.077596310830257</v>
      </c>
      <c r="AC8" s="233">
        <f>AB8*(1+'конкурсная документация'!AC19)</f>
        <v>6.503028052588376</v>
      </c>
      <c r="AD8" s="233">
        <f>AC8*(1+'конкурсная документация'!AD19)</f>
        <v>6.958240016269563</v>
      </c>
      <c r="AE8" s="233">
        <f>AD8*(1+'конкурсная документация'!AE19)</f>
        <v>7.4453168174084325</v>
      </c>
      <c r="AF8" s="233">
        <f>AE8*(1+'конкурсная документация'!AF19)</f>
        <v>7.966488994627023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</row>
    <row r="9" spans="1:55" s="170" customFormat="1" ht="19.5" customHeight="1">
      <c r="A9" s="182" t="s">
        <v>54</v>
      </c>
      <c r="B9" s="183">
        <v>1</v>
      </c>
      <c r="C9" s="233">
        <f>B9*(1+'конкурсная документация'!C20)</f>
        <v>1.1</v>
      </c>
      <c r="D9" s="233">
        <f>C9*(1+'конкурсная документация'!D20)</f>
        <v>1.2100000000000002</v>
      </c>
      <c r="E9" s="233">
        <f>D9*(1+'конкурсная документация'!E20)</f>
        <v>1.2947000000000002</v>
      </c>
      <c r="F9" s="233">
        <f>E9*(1+'конкурсная документация'!F20)</f>
        <v>1.3723820000000002</v>
      </c>
      <c r="G9" s="233">
        <f>F9*(1+'конкурсная документация'!G20)</f>
        <v>1.4547249200000003</v>
      </c>
      <c r="H9" s="233">
        <f>G9*(1+'конкурсная документация'!H20)</f>
        <v>1.5420084152000004</v>
      </c>
      <c r="I9" s="233">
        <f>H9*(1+'конкурсная документация'!I20)</f>
        <v>1.6345289201120006</v>
      </c>
      <c r="J9" s="233">
        <f>I9*(1+'конкурсная документация'!J20)</f>
        <v>1.7326006553187208</v>
      </c>
      <c r="K9" s="233">
        <f>J9*(1+'конкурсная документация'!K20)</f>
        <v>1.836556694637844</v>
      </c>
      <c r="L9" s="233">
        <f>K9*(1+'конкурсная документация'!L20)</f>
        <v>1.9467500963161146</v>
      </c>
      <c r="M9" s="233">
        <f>L9*(1+'конкурсная документация'!M20)</f>
        <v>2.0635551020950818</v>
      </c>
      <c r="N9" s="233">
        <f>M9*(1+'конкурсная документация'!N20)</f>
        <v>2.1873684082207867</v>
      </c>
      <c r="O9" s="233">
        <f>N9*(1+'конкурсная документация'!O20)</f>
        <v>2.318610512714034</v>
      </c>
      <c r="P9" s="233">
        <f>O9*(1+'конкурсная документация'!P20)</f>
        <v>2.457727143476876</v>
      </c>
      <c r="Q9" s="233">
        <f>P9*(1+'конкурсная документация'!Q20)</f>
        <v>2.6051907720854888</v>
      </c>
      <c r="R9" s="233">
        <f>Q9*(1+'конкурсная документация'!R20)</f>
        <v>2.761502218410618</v>
      </c>
      <c r="S9" s="233">
        <f>R9*(1+'конкурсная документация'!S20)</f>
        <v>2.9271923515152554</v>
      </c>
      <c r="T9" s="233">
        <f>S9*(1+'конкурсная документация'!T20)</f>
        <v>3.1028238926061706</v>
      </c>
      <c r="U9" s="233">
        <f>T9*(1+'конкурсная документация'!U20)</f>
        <v>3.288993326162541</v>
      </c>
      <c r="V9" s="233">
        <f>U9*(1+'конкурсная документация'!V20)</f>
        <v>3.4863329257322935</v>
      </c>
      <c r="W9" s="233">
        <f>V9*(1+'конкурсная документация'!W20)</f>
        <v>3.6955129012762313</v>
      </c>
      <c r="X9" s="233">
        <f>W9*(1+'конкурсная документация'!X20)</f>
        <v>3.9172436753528053</v>
      </c>
      <c r="Y9" s="233">
        <f>X9*(1+'конкурсная документация'!Y20)</f>
        <v>4.152278295873974</v>
      </c>
      <c r="Z9" s="233">
        <f>Y9*(1+'конкурсная документация'!Z20)</f>
        <v>4.401414993626413</v>
      </c>
      <c r="AA9" s="233">
        <f>Z9*(1+'конкурсная документация'!AA20)</f>
        <v>4.665499893243998</v>
      </c>
      <c r="AB9" s="233">
        <f>AA9*(1+'конкурсная документация'!AB20)</f>
        <v>4.945429886838639</v>
      </c>
      <c r="AC9" s="233">
        <f>AB9*(1+'конкурсная документация'!AC20)</f>
        <v>5.242155680048957</v>
      </c>
      <c r="AD9" s="233">
        <f>AC9*(1+'конкурсная документация'!AD20)</f>
        <v>5.556685020851894</v>
      </c>
      <c r="AE9" s="233">
        <f>AD9*(1+'конкурсная документация'!AE20)</f>
        <v>5.890086122103008</v>
      </c>
      <c r="AF9" s="233">
        <f>AE9*(1+'конкурсная документация'!AF20)</f>
        <v>6.243491289429189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</row>
    <row r="10" spans="1:55" s="170" customFormat="1" ht="19.5" customHeight="1">
      <c r="A10" s="182" t="s">
        <v>55</v>
      </c>
      <c r="B10" s="183">
        <v>1</v>
      </c>
      <c r="C10" s="233">
        <f>B10*(1+'конкурсная документация'!C21)</f>
        <v>1.0972</v>
      </c>
      <c r="D10" s="233">
        <f>C10*(1+'конкурсная документация'!D21)</f>
        <v>1.190462</v>
      </c>
      <c r="E10" s="233">
        <f>D10*(1+'конкурсная документация'!E21)</f>
        <v>1.280937112</v>
      </c>
      <c r="F10" s="233">
        <f>E10*(1+'конкурсная документация'!F21)</f>
        <v>1.35138865316</v>
      </c>
      <c r="G10" s="233">
        <f>F10*(1+'конкурсная документация'!G21)</f>
        <v>1.4392289156154</v>
      </c>
      <c r="H10" s="233">
        <f>G10*(1+'конкурсная документация'!H21)</f>
        <v>1.5327787951304008</v>
      </c>
      <c r="I10" s="233">
        <f>H10*(1+'конкурсная документация'!I21)</f>
        <v>1.6324094168138767</v>
      </c>
      <c r="J10" s="233">
        <f>I10*(1+'конкурсная документация'!J21)</f>
        <v>1.7385160289067787</v>
      </c>
      <c r="K10" s="233">
        <f>J10*(1+'конкурсная документация'!K21)</f>
        <v>1.8515195707857193</v>
      </c>
      <c r="L10" s="233">
        <f>K10*(1+'конкурсная документация'!L21)</f>
        <v>1.971868342886791</v>
      </c>
      <c r="M10" s="233">
        <f>L10*(1+'конкурсная документация'!M21)</f>
        <v>2.1000397851744323</v>
      </c>
      <c r="N10" s="233">
        <f>M10*(1+'конкурсная документация'!N21)</f>
        <v>2.23654237121077</v>
      </c>
      <c r="O10" s="233">
        <f>N10*(1+'конкурсная документация'!O21)</f>
        <v>2.38191762533947</v>
      </c>
      <c r="P10" s="233">
        <f>O10*(1+'конкурсная документация'!P21)</f>
        <v>2.5367422709865353</v>
      </c>
      <c r="Q10" s="233">
        <f>P10*(1+'конкурсная документация'!Q21)</f>
        <v>2.70163051860066</v>
      </c>
      <c r="R10" s="233">
        <f>Q10*(1+'конкурсная документация'!R21)</f>
        <v>2.8772365023097026</v>
      </c>
      <c r="S10" s="233">
        <f>R10*(1+'конкурсная документация'!S21)</f>
        <v>3.0642568749598333</v>
      </c>
      <c r="T10" s="233">
        <f>S10*(1+'конкурсная документация'!T21)</f>
        <v>3.2634335718322225</v>
      </c>
      <c r="U10" s="233">
        <f>T10*(1+'конкурсная документация'!U21)</f>
        <v>3.4755567540013166</v>
      </c>
      <c r="V10" s="233">
        <f>U10*(1+'конкурсная документация'!V21)</f>
        <v>3.701467943011402</v>
      </c>
      <c r="W10" s="233">
        <f>V10*(1+'конкурсная документация'!W21)</f>
        <v>3.942063359307143</v>
      </c>
      <c r="X10" s="233">
        <f>W10*(1+'конкурсная документация'!X21)</f>
        <v>4.1982974776621065</v>
      </c>
      <c r="Y10" s="233">
        <f>X10*(1+'конкурсная документация'!Y21)</f>
        <v>4.471186813710143</v>
      </c>
      <c r="Z10" s="233">
        <f>Y10*(1+'конкурсная документация'!Z21)</f>
        <v>4.761813956601302</v>
      </c>
      <c r="AA10" s="233">
        <f>Z10*(1+'конкурсная документация'!AA21)</f>
        <v>5.071331863780387</v>
      </c>
      <c r="AB10" s="233">
        <f>AA10*(1+'конкурсная документация'!AB21)</f>
        <v>5.400968434926112</v>
      </c>
      <c r="AC10" s="233">
        <f>AB10*(1+'конкурсная документация'!AC21)</f>
        <v>5.752031383196309</v>
      </c>
      <c r="AD10" s="233">
        <f>AC10*(1+'конкурсная документация'!AD21)</f>
        <v>6.125913423104069</v>
      </c>
      <c r="AE10" s="233">
        <f>AD10*(1+'конкурсная документация'!AE21)</f>
        <v>6.524097795605833</v>
      </c>
      <c r="AF10" s="233">
        <f>AE10*(1+'конкурсная документация'!AF21)</f>
        <v>6.948164152320212</v>
      </c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</row>
    <row r="11" spans="1:55" s="170" customFormat="1" ht="19.5" customHeight="1">
      <c r="A11" s="182" t="s">
        <v>56</v>
      </c>
      <c r="B11" s="183">
        <v>1</v>
      </c>
      <c r="C11" s="233">
        <f>B11*(1+'конкурсная документация'!C22)</f>
        <v>1.01</v>
      </c>
      <c r="D11" s="233">
        <f>C11*(1+'конкурсная документация'!D22)</f>
        <v>1.0908</v>
      </c>
      <c r="E11" s="233">
        <f>D11*(1+'конкурсная документация'!E22)</f>
        <v>1.178064</v>
      </c>
      <c r="F11" s="233">
        <f>E11*(1+'конкурсная документация'!F22)</f>
        <v>1.26052848</v>
      </c>
      <c r="G11" s="233">
        <f>F11*(1+'конкурсная документация'!G22)</f>
        <v>1.3361601888</v>
      </c>
      <c r="H11" s="233">
        <f>G11*(1+'конкурсная документация'!H22)</f>
        <v>1.4163298001280002</v>
      </c>
      <c r="I11" s="233">
        <f>H11*(1+'конкурсная документация'!I22)</f>
        <v>1.5013095881356804</v>
      </c>
      <c r="J11" s="233">
        <f>I11*(1+'конкурсная документация'!J22)</f>
        <v>1.5913881634238214</v>
      </c>
      <c r="K11" s="233">
        <f>J11*(1+'конкурсная документация'!K22)</f>
        <v>1.6868714532292508</v>
      </c>
      <c r="L11" s="233">
        <f>K11*(1+'конкурсная документация'!L22)</f>
        <v>1.7880837404230059</v>
      </c>
      <c r="M11" s="233">
        <f>L11*(1+'конкурсная документация'!M22)</f>
        <v>1.8953687648483863</v>
      </c>
      <c r="N11" s="233">
        <f>M11*(1+'конкурсная документация'!N22)</f>
        <v>2.0090908907392895</v>
      </c>
      <c r="O11" s="233">
        <f>N11*(1+'конкурсная документация'!O22)</f>
        <v>2.129636344183647</v>
      </c>
      <c r="P11" s="233">
        <f>O11*(1+'конкурсная документация'!P22)</f>
        <v>2.2574145248346658</v>
      </c>
      <c r="Q11" s="233">
        <f>P11*(1+'конкурсная документация'!Q22)</f>
        <v>2.392859396324746</v>
      </c>
      <c r="R11" s="233">
        <f>Q11*(1+'конкурсная документация'!R22)</f>
        <v>2.536430960104231</v>
      </c>
      <c r="S11" s="233">
        <f>R11*(1+'конкурсная документация'!S22)</f>
        <v>2.6886168177104848</v>
      </c>
      <c r="T11" s="233">
        <f>S11*(1+'конкурсная документация'!T22)</f>
        <v>2.849933826773114</v>
      </c>
      <c r="U11" s="233">
        <f>T11*(1+'конкурсная документация'!U22)</f>
        <v>3.020929856379501</v>
      </c>
      <c r="V11" s="233">
        <f>U11*(1+'конкурсная документация'!V22)</f>
        <v>3.202185647762271</v>
      </c>
      <c r="W11" s="233">
        <f>V11*(1+'конкурсная документация'!W22)</f>
        <v>3.3943167866280075</v>
      </c>
      <c r="X11" s="233">
        <f>W11*(1+'конкурсная документация'!X22)</f>
        <v>3.597975793825688</v>
      </c>
      <c r="Y11" s="233">
        <f>X11*(1+'конкурсная документация'!Y22)</f>
        <v>3.8138543414552295</v>
      </c>
      <c r="Z11" s="233">
        <f>Y11*(1+'конкурсная документация'!Z22)</f>
        <v>4.0426856019425434</v>
      </c>
      <c r="AA11" s="233">
        <f>Z11*(1+'конкурсная документация'!AA22)</f>
        <v>4.285246738059096</v>
      </c>
      <c r="AB11" s="233">
        <f>AA11*(1+'конкурсная документация'!AB22)</f>
        <v>4.5423615423426424</v>
      </c>
      <c r="AC11" s="233">
        <f>AB11*(1+'конкурсная документация'!AC22)</f>
        <v>4.814903234883201</v>
      </c>
      <c r="AD11" s="233">
        <f>AC11*(1+'конкурсная документация'!AD22)</f>
        <v>5.103797428976193</v>
      </c>
      <c r="AE11" s="233">
        <f>AD11*(1+'конкурсная документация'!AE22)</f>
        <v>5.410025274714766</v>
      </c>
      <c r="AF11" s="233">
        <f>AE11*(1+'конкурсная документация'!AF22)</f>
        <v>5.734626791197652</v>
      </c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</row>
    <row r="12" spans="1:32" s="170" customFormat="1" ht="15">
      <c r="A12" s="184" t="s">
        <v>191</v>
      </c>
      <c r="B12" s="237">
        <v>1</v>
      </c>
      <c r="C12" s="238">
        <f aca="true" t="shared" si="0" ref="C12:AF12">B12*(1+C17)</f>
        <v>1.1</v>
      </c>
      <c r="D12" s="238">
        <f t="shared" si="0"/>
        <v>1.2100000000000002</v>
      </c>
      <c r="E12" s="238">
        <f t="shared" si="0"/>
        <v>1.2826000000000002</v>
      </c>
      <c r="F12" s="238">
        <f t="shared" si="0"/>
        <v>1.3723820000000002</v>
      </c>
      <c r="G12" s="238">
        <f t="shared" si="0"/>
        <v>1.4684487400000004</v>
      </c>
      <c r="H12" s="238">
        <f t="shared" si="0"/>
        <v>1.5712401518000005</v>
      </c>
      <c r="I12" s="238">
        <f t="shared" si="0"/>
        <v>1.6812269624260008</v>
      </c>
      <c r="J12" s="238">
        <f t="shared" si="0"/>
        <v>1.798912849795821</v>
      </c>
      <c r="K12" s="238">
        <f t="shared" si="0"/>
        <v>1.9248367492815284</v>
      </c>
      <c r="L12" s="238">
        <f t="shared" si="0"/>
        <v>2.0595753217312356</v>
      </c>
      <c r="M12" s="238">
        <f t="shared" si="0"/>
        <v>2.203745594252422</v>
      </c>
      <c r="N12" s="238">
        <f t="shared" si="0"/>
        <v>2.358007785850092</v>
      </c>
      <c r="O12" s="238">
        <f t="shared" si="0"/>
        <v>2.5230683308595983</v>
      </c>
      <c r="P12" s="238">
        <f t="shared" si="0"/>
        <v>2.6996831140197703</v>
      </c>
      <c r="Q12" s="238">
        <f t="shared" si="0"/>
        <v>2.8886609320011543</v>
      </c>
      <c r="R12" s="238">
        <f t="shared" si="0"/>
        <v>3.090867197241235</v>
      </c>
      <c r="S12" s="238">
        <f t="shared" si="0"/>
        <v>3.3072279010481216</v>
      </c>
      <c r="T12" s="238">
        <f t="shared" si="0"/>
        <v>3.53873385412149</v>
      </c>
      <c r="U12" s="238">
        <f t="shared" si="0"/>
        <v>3.7864452239099946</v>
      </c>
      <c r="V12" s="238">
        <f t="shared" si="0"/>
        <v>4.051496389583694</v>
      </c>
      <c r="W12" s="238">
        <f t="shared" si="0"/>
        <v>4.335101136854553</v>
      </c>
      <c r="X12" s="238">
        <f t="shared" si="0"/>
        <v>4.638558216434372</v>
      </c>
      <c r="Y12" s="238">
        <f t="shared" si="0"/>
        <v>4.963257291584779</v>
      </c>
      <c r="Z12" s="238">
        <f t="shared" si="0"/>
        <v>5.310685301995714</v>
      </c>
      <c r="AA12" s="238">
        <f t="shared" si="0"/>
        <v>5.682433273135414</v>
      </c>
      <c r="AB12" s="238">
        <f t="shared" si="0"/>
        <v>6.080203602254894</v>
      </c>
      <c r="AC12" s="238">
        <f t="shared" si="0"/>
        <v>6.5058178544127365</v>
      </c>
      <c r="AD12" s="238">
        <f t="shared" si="0"/>
        <v>6.961225104221628</v>
      </c>
      <c r="AE12" s="238">
        <f t="shared" si="0"/>
        <v>7.448510861517143</v>
      </c>
      <c r="AF12" s="238">
        <f t="shared" si="0"/>
        <v>7.969906621823343</v>
      </c>
    </row>
    <row r="13" spans="1:23" s="66" customFormat="1" ht="21" customHeight="1">
      <c r="A13" s="62" t="s">
        <v>106</v>
      </c>
      <c r="B13" s="63"/>
      <c r="C13" s="64"/>
      <c r="D13" s="64"/>
      <c r="E13" s="64"/>
      <c r="F13" s="63"/>
      <c r="G13" s="63"/>
      <c r="H13" s="63"/>
      <c r="I13" s="63"/>
      <c r="J13" s="63"/>
      <c r="K13" s="64"/>
      <c r="L13" s="64"/>
      <c r="M13" s="64"/>
      <c r="N13" s="64"/>
      <c r="O13" s="64"/>
      <c r="P13" s="63"/>
      <c r="Q13" s="63"/>
      <c r="R13" s="63"/>
      <c r="S13" s="63"/>
      <c r="T13" s="63"/>
      <c r="U13" s="64"/>
      <c r="V13" s="64"/>
      <c r="W13" s="65"/>
    </row>
    <row r="14" spans="1:32" s="16" customFormat="1" ht="15">
      <c r="A14" s="226" t="s">
        <v>214</v>
      </c>
      <c r="B14" s="193"/>
      <c r="C14" s="195">
        <f>'конкурсные предложения'!B$10*SUM(C16,C21,C29,C33,C68)</f>
        <v>64.70104795720702</v>
      </c>
      <c r="D14" s="195">
        <f>'конкурсные предложения'!C$10*SUM(D16,D21,D29,D33,D68)</f>
        <v>80.85826931888326</v>
      </c>
      <c r="E14" s="195">
        <f>'конкурсные предложения'!D$10*SUM(E16,E21,E29,E33,E68)</f>
        <v>90.72919453448891</v>
      </c>
      <c r="F14" s="195">
        <f>'конкурсные предложения'!E$10*SUM(F16,F21,F29,F33,F68)</f>
        <v>81.5429915636363</v>
      </c>
      <c r="G14" s="195">
        <f>'конкурсные предложения'!F$10*SUM(G16,G21,G29,G33,G68)</f>
        <v>90.33648864737084</v>
      </c>
      <c r="H14" s="195">
        <f>'конкурсные предложения'!G$10*SUM(H16,H21,H29,H33,H68)</f>
        <v>113.85948985887494</v>
      </c>
      <c r="I14" s="195">
        <f>'конкурсные предложения'!H$10*SUM(I16,I21,I29,I33,I68)</f>
        <v>139.90703703879538</v>
      </c>
      <c r="J14" s="195">
        <f>'конкурсные предложения'!I$10*SUM(J16,J21,J29,J33,J68)</f>
        <v>152.44088449201183</v>
      </c>
      <c r="K14" s="195">
        <f>'конкурсные предложения'!J$10*SUM(K16,K21,K29,K33,K68)</f>
        <v>149.90363150724633</v>
      </c>
      <c r="L14" s="195">
        <f>'конкурсные предложения'!K$10*SUM(L16,L21,L29,L33,L68)</f>
        <v>145.17764787822276</v>
      </c>
      <c r="M14" s="195">
        <f>'конкурсные предложения'!L$10*SUM(M16,M21,M29,M33,M68)</f>
        <v>140.31582440385571</v>
      </c>
      <c r="N14" s="195">
        <f>'конкурсные предложения'!M$10*SUM(N16,N21,N29,N33,N68)</f>
        <v>376.0177082677906</v>
      </c>
      <c r="O14" s="195">
        <f>'конкурсные предложения'!N$10*SUM(O16,O21,O29,O33,O68)</f>
        <v>494.5579204065479</v>
      </c>
      <c r="P14" s="195">
        <f>'конкурсные предложения'!O$10*SUM(P16,P21,P29,P33,P68)</f>
        <v>489.2981245715492</v>
      </c>
      <c r="Q14" s="195">
        <f>'конкурсные предложения'!P$10*SUM(Q16,Q21,Q29,Q33,Q68)</f>
        <v>474.5465636334938</v>
      </c>
      <c r="R14" s="195">
        <f>'конкурсные предложения'!Q$10*SUM(R16,R21,R29,R33,R68)</f>
        <v>435.18870825188253</v>
      </c>
      <c r="S14" s="195">
        <f>'конкурсные предложения'!R$10*SUM(S16,S21,S29,S33,S68)</f>
        <v>391.9511353072121</v>
      </c>
      <c r="T14" s="195">
        <f>'конкурсные предложения'!S$10*SUM(T16,T21,T29,T33,T68)</f>
        <v>360.1494187151266</v>
      </c>
      <c r="U14" s="195">
        <f>'конкурсные предложения'!T$10*SUM(U16,U21,U29,U33,U68)</f>
        <v>355.46235823335144</v>
      </c>
      <c r="V14" s="195">
        <f>'конкурсные предложения'!U$10*SUM(V16,V21,V29,V33,V68)</f>
        <v>348.0260288818593</v>
      </c>
      <c r="W14" s="195">
        <f>'конкурсные предложения'!V$10*SUM(W16,W21,W29,W33,W68)</f>
        <v>338.03378963953963</v>
      </c>
      <c r="X14" s="195">
        <f>'конкурсные предложения'!W$10*SUM(X16,X21,X29,X33,X68)</f>
        <v>325.2175738785108</v>
      </c>
      <c r="Y14" s="195">
        <f>'конкурсные предложения'!X$10*SUM(Y16,Y21,Y29,Y33,Y68)</f>
        <v>314.52943243984555</v>
      </c>
      <c r="Z14" s="195">
        <f>'конкурсные предложения'!Y$10*SUM(Z16,Z21,Z29,Z33,Z68)</f>
        <v>300.9169063664938</v>
      </c>
      <c r="AA14" s="195">
        <f>'конкурсные предложения'!Z$10*SUM(AA16,AA21,AA29,AA33,AA68)</f>
        <v>361.46017582645777</v>
      </c>
      <c r="AB14" s="195">
        <f>'конкурсные предложения'!AA$10*SUM(AB16,AB21,AB29,AB33,AB68)</f>
        <v>428.67371908694906</v>
      </c>
      <c r="AC14" s="195">
        <f>'конкурсные предложения'!AB$10*SUM(AC16,AC21,AC29,AC33,AC68)</f>
        <v>409.2739282609676</v>
      </c>
      <c r="AD14" s="195">
        <f>'конкурсные предложения'!AC$10*SUM(AD16,AD21,AD29,AD33,AD68)</f>
        <v>385.49981179950083</v>
      </c>
      <c r="AE14" s="195">
        <f>'конкурсные предложения'!AD$10*SUM(AE16,AE21,AE29,AE33,AE68)</f>
        <v>455.8975069277839</v>
      </c>
      <c r="AF14" s="195">
        <f>'конкурсные предложения'!AE$10*SUM(AF16,AF21,AF29,AF33,AF68)</f>
        <v>428.5476734074861</v>
      </c>
    </row>
    <row r="15" spans="1:32" s="16" customFormat="1" ht="15">
      <c r="A15" s="226" t="s">
        <v>168</v>
      </c>
      <c r="B15" s="193"/>
      <c r="C15" s="195">
        <f>SUM(C16,C21,C29,C31:C33,C68)*'конкурсная документация'!$C$26</f>
        <v>0</v>
      </c>
      <c r="D15" s="195">
        <f>SUM(D16,D21,D29,D31:D33,D68)*'конкурсная документация'!$C$26</f>
        <v>0</v>
      </c>
      <c r="E15" s="195">
        <f>SUM(E16,E21,E29,E31:E33,E68)*'конкурсная документация'!$C$26</f>
        <v>0</v>
      </c>
      <c r="F15" s="195">
        <f>SUM(F16,F21,F29,F31:F33,F68)*'конкурсная документация'!$C$26</f>
        <v>0</v>
      </c>
      <c r="G15" s="195">
        <f>SUM(G16,G21,G29,G31:G33,G68)*'конкурсная документация'!$C$26</f>
        <v>0</v>
      </c>
      <c r="H15" s="195">
        <f>SUM(H16,H21,H29,H31:H33,H68)*'конкурсная документация'!$C$26</f>
        <v>0</v>
      </c>
      <c r="I15" s="195">
        <f>SUM(I16,I21,I29,I31:I33,I68)*'конкурсная документация'!$C$26</f>
        <v>0</v>
      </c>
      <c r="J15" s="195">
        <f>SUM(J16,J21,J29,J31:J33,J68)*'конкурсная документация'!$C$26</f>
        <v>0</v>
      </c>
      <c r="K15" s="195">
        <f>SUM(K16,K21,K29,K31:K33,K68)*'конкурсная документация'!$C$26</f>
        <v>0</v>
      </c>
      <c r="L15" s="195">
        <f>SUM(L16,L21,L29,L31:L33,L68)*'конкурсная документация'!$C$26</f>
        <v>0</v>
      </c>
      <c r="M15" s="195">
        <f>SUM(M16,M21,M29,M31:M33,M68)*'конкурсная документация'!$C$26</f>
        <v>0</v>
      </c>
      <c r="N15" s="195">
        <f>SUM(N16,N21,N29,N31:N33,N68)*'конкурсная документация'!$C$26</f>
        <v>0</v>
      </c>
      <c r="O15" s="195">
        <f>SUM(O16,O21,O29,O31:O33,O68)*'конкурсная документация'!$C$26</f>
        <v>0</v>
      </c>
      <c r="P15" s="195">
        <f>SUM(P16,P21,P29,P31:P33,P68)*'конкурсная документация'!$C$26</f>
        <v>0</v>
      </c>
      <c r="Q15" s="195">
        <f>SUM(Q16,Q21,Q29,Q31:Q33,Q68)*'конкурсная документация'!$C$26</f>
        <v>0</v>
      </c>
      <c r="R15" s="195">
        <f>SUM(R16,R21,R29,R31:R33,R68)*'конкурсная документация'!$C$26</f>
        <v>0</v>
      </c>
      <c r="S15" s="195">
        <f>SUM(S16,S21,S29,S31:S33,S68)*'конкурсная документация'!$C$26</f>
        <v>0</v>
      </c>
      <c r="T15" s="195">
        <f>SUM(T16,T21,T29,T31:T33,T68)*'конкурсная документация'!$C$26</f>
        <v>0</v>
      </c>
      <c r="U15" s="195">
        <f>SUM(U16,U21,U29,U31:U33,U68)*'конкурсная документация'!$C$26</f>
        <v>0</v>
      </c>
      <c r="V15" s="195">
        <f>SUM(V16,V21,V29,V31:V33,V68)*'конкурсная документация'!$C$26</f>
        <v>0</v>
      </c>
      <c r="W15" s="195">
        <f>SUM(W16,W21,W29,W31:W33,W68)*'конкурсная документация'!$C$26</f>
        <v>0</v>
      </c>
      <c r="X15" s="195">
        <f>SUM(X16,X21,X29,X31:X33,X68)*'конкурсная документация'!$C$26</f>
        <v>0</v>
      </c>
      <c r="Y15" s="195">
        <f>SUM(Y16,Y21,Y29,Y31:Y33,Y68)*'конкурсная документация'!$C$26</f>
        <v>0</v>
      </c>
      <c r="Z15" s="195">
        <f>SUM(Z16,Z21,Z29,Z31:Z33,Z68)*'конкурсная документация'!$C$26</f>
        <v>0</v>
      </c>
      <c r="AA15" s="195">
        <f>SUM(AA16,AA21,AA29,AA31:AA33,AA68)*'конкурсная документация'!$C$26</f>
        <v>0</v>
      </c>
      <c r="AB15" s="195">
        <f>SUM(AB16,AB21,AB29,AB31:AB33,AB68)*'конкурсная документация'!$C$26</f>
        <v>0</v>
      </c>
      <c r="AC15" s="195">
        <f>SUM(AC16,AC21,AC29,AC31:AC33,AC68)*'конкурсная документация'!$C$26</f>
        <v>0</v>
      </c>
      <c r="AD15" s="195">
        <f>SUM(AD16,AD21,AD29,AD31:AD33,AD68)*'конкурсная документация'!$C$26</f>
        <v>0</v>
      </c>
      <c r="AE15" s="195">
        <f>SUM(AE16,AE21,AE29,AE31:AE33,AE68)*'конкурсная документация'!$C$26</f>
        <v>0</v>
      </c>
      <c r="AF15" s="195">
        <f>SUM(AF16,AF21,AF29,AF31:AF33,AF68)*'конкурсная документация'!$C$26</f>
        <v>0</v>
      </c>
    </row>
    <row r="16" spans="1:32" s="16" customFormat="1" ht="15">
      <c r="A16" s="99" t="s">
        <v>117</v>
      </c>
      <c r="B16" s="191"/>
      <c r="C16" s="206">
        <f>'конкурсные предложения'!B6*C12</f>
        <v>969.1</v>
      </c>
      <c r="D16" s="195">
        <f>C16*(1+D17)*(1+C20)*(1-0.01)</f>
        <v>1253.2280062500001</v>
      </c>
      <c r="E16" s="195">
        <f>D16*(1+E17)*(1+D20)*(1-0.01)</f>
        <v>1413.7727799906563</v>
      </c>
      <c r="F16" s="239">
        <f>'конкурсные предложения'!E6*F12</f>
        <v>1195.3447220000003</v>
      </c>
      <c r="G16" s="195">
        <f>F16*(1+G17)*(1+F20)*(1-0.01)</f>
        <v>1266.2286640146003</v>
      </c>
      <c r="H16" s="195">
        <f>G16*(1+H17)*(1+G20)*(1-0.01)</f>
        <v>1341.3160237906663</v>
      </c>
      <c r="I16" s="195">
        <f>H16*(1+I17)*(1+H20)*(1-0.01)</f>
        <v>1420.8560640014528</v>
      </c>
      <c r="J16" s="195">
        <f>I16*(1+J17)*(1+I20)*(1-0.01)</f>
        <v>1505.112828596739</v>
      </c>
      <c r="K16" s="239">
        <f>'конкурсные предложения'!J6*K12</f>
        <v>1611.0883591486393</v>
      </c>
      <c r="L16" s="216">
        <f>K16*(1+L17)*(1+K20)*(1-0.01)</f>
        <v>1706.6258988461536</v>
      </c>
      <c r="M16" s="216">
        <f>L16*(1+M17)*(1+L20)*(1-0.01)</f>
        <v>1807.8288146477305</v>
      </c>
      <c r="N16" s="216">
        <f>M16*(1+N17)*(1+M20)*(1-0.01)</f>
        <v>1915.033063356341</v>
      </c>
      <c r="O16" s="216">
        <f>N16*(1+O17)*(1+N20)*(1-0.01)</f>
        <v>2028.594524013372</v>
      </c>
      <c r="P16" s="239">
        <f>'конкурсные предложения'!O6*P12</f>
        <v>2165.1458574438557</v>
      </c>
      <c r="Q16" s="216">
        <f>P16*(1+Q17)*(1+P20)*(1-0.01)</f>
        <v>2293.5390067902763</v>
      </c>
      <c r="R16" s="216">
        <f>Q16*(1+R17)*(1+Q20)*(1-0.01)</f>
        <v>2429.5458698929397</v>
      </c>
      <c r="S16" s="216">
        <f>R16*(1+S17)*(1+R20)*(1-0.01)</f>
        <v>2573.617939977591</v>
      </c>
      <c r="T16" s="216">
        <f>S16*(1+T17)*(1+S20)*(1-0.01)</f>
        <v>2726.2334838182624</v>
      </c>
      <c r="U16" s="239">
        <f>'конкурсные предложения'!T6*U12</f>
        <v>2892.844151067236</v>
      </c>
      <c r="V16" s="216">
        <f>U16*(1+V17)*(1+U20)*(1-0.01)</f>
        <v>3064.389809225523</v>
      </c>
      <c r="W16" s="216">
        <f>V16*(1+W17)*(1+V20)*(1-0.01)</f>
        <v>3246.108124912597</v>
      </c>
      <c r="X16" s="216">
        <f>W16*(1+X17)*(1+W20)*(1-0.01)</f>
        <v>3438.602336719914</v>
      </c>
      <c r="Y16" s="216">
        <f>X16*(1+Y17)*(1+X20)*(1-0.01)</f>
        <v>3642.511455287405</v>
      </c>
      <c r="Z16" s="239">
        <f>'конкурсные предложения'!Y6*Z12</f>
        <v>3855.5575292488884</v>
      </c>
      <c r="AA16" s="216">
        <f>Z16*(1+AA17)*(1+Z20)*(1-0.01)</f>
        <v>4084.1920907333474</v>
      </c>
      <c r="AB16" s="216">
        <f>AA16*(1+AB17)*(1+AA20)*(1-0.01)</f>
        <v>4326.384681713836</v>
      </c>
      <c r="AC16" s="216">
        <f>AB16*(1+AC17)*(1+AB20)*(1-0.01)</f>
        <v>4582.939293339466</v>
      </c>
      <c r="AD16" s="216">
        <f>AC16*(1+AD17)*(1+AC20)*(1-0.01)</f>
        <v>4854.707593434496</v>
      </c>
      <c r="AE16" s="239">
        <f>'конкурсные предложения'!AD6*AE12</f>
        <v>5146.921005308345</v>
      </c>
      <c r="AF16" s="216">
        <f>AE16*(1+AF17)*(1+AE20)*(1-0.01)</f>
        <v>5452.133420923131</v>
      </c>
    </row>
    <row r="17" spans="1:32" s="16" customFormat="1" ht="15">
      <c r="A17" s="207" t="s">
        <v>17</v>
      </c>
      <c r="B17" s="208"/>
      <c r="C17" s="201">
        <f>'конкурсная документация'!C$23</f>
        <v>0.1</v>
      </c>
      <c r="D17" s="201">
        <f>'конкурсная документация'!D$23</f>
        <v>0.1</v>
      </c>
      <c r="E17" s="201">
        <f>'конкурсная документация'!E$23</f>
        <v>0.06</v>
      </c>
      <c r="F17" s="201">
        <f>'конкурсная документация'!F$23</f>
        <v>0.07</v>
      </c>
      <c r="G17" s="201">
        <f>'конкурсная документация'!G$23</f>
        <v>0.07</v>
      </c>
      <c r="H17" s="201">
        <f>'конкурсная документация'!H$23</f>
        <v>0.07</v>
      </c>
      <c r="I17" s="201">
        <f>'конкурсная документация'!I$23</f>
        <v>0.07</v>
      </c>
      <c r="J17" s="201">
        <f>'конкурсная документация'!J$23</f>
        <v>0.07</v>
      </c>
      <c r="K17" s="201">
        <f>'конкурсная документация'!K$23</f>
        <v>0.07</v>
      </c>
      <c r="L17" s="201">
        <f>'конкурсная документация'!L$23</f>
        <v>0.07</v>
      </c>
      <c r="M17" s="201">
        <f>'конкурсная документация'!M$23</f>
        <v>0.07</v>
      </c>
      <c r="N17" s="201">
        <f>'конкурсная документация'!N$23</f>
        <v>0.07</v>
      </c>
      <c r="O17" s="201">
        <f>'конкурсная документация'!O$23</f>
        <v>0.07</v>
      </c>
      <c r="P17" s="201">
        <f>'конкурсная документация'!P$23</f>
        <v>0.07</v>
      </c>
      <c r="Q17" s="201">
        <f>'конкурсная документация'!Q$23</f>
        <v>0.07</v>
      </c>
      <c r="R17" s="201">
        <f>'конкурсная документация'!R$23</f>
        <v>0.07</v>
      </c>
      <c r="S17" s="201">
        <f>'конкурсная документация'!S$23</f>
        <v>0.07</v>
      </c>
      <c r="T17" s="201">
        <f>'конкурсная документация'!T$23</f>
        <v>0.07</v>
      </c>
      <c r="U17" s="201">
        <f>'конкурсная документация'!U$23</f>
        <v>0.07</v>
      </c>
      <c r="V17" s="201">
        <f>'конкурсная документация'!V$23</f>
        <v>0.07</v>
      </c>
      <c r="W17" s="201">
        <f>'конкурсная документация'!W$23</f>
        <v>0.07</v>
      </c>
      <c r="X17" s="201">
        <f>'конкурсная документация'!X$23</f>
        <v>0.07</v>
      </c>
      <c r="Y17" s="201">
        <f>'конкурсная документация'!Y$23</f>
        <v>0.07</v>
      </c>
      <c r="Z17" s="201">
        <f>'конкурсная документация'!Z$23</f>
        <v>0.07</v>
      </c>
      <c r="AA17" s="201">
        <f>'конкурсная документация'!AA$23</f>
        <v>0.07</v>
      </c>
      <c r="AB17" s="201">
        <f>'конкурсная документация'!AB$23</f>
        <v>0.07</v>
      </c>
      <c r="AC17" s="201">
        <f>'конкурсная документация'!AC$23</f>
        <v>0.07</v>
      </c>
      <c r="AD17" s="201">
        <f>'конкурсная документация'!AD$23</f>
        <v>0.07</v>
      </c>
      <c r="AE17" s="201">
        <f>'конкурсная документация'!AE$23</f>
        <v>0.07</v>
      </c>
      <c r="AF17" s="201">
        <f>'конкурсная документация'!AF$23</f>
        <v>0.07</v>
      </c>
    </row>
    <row r="18" spans="1:32" s="16" customFormat="1" ht="45">
      <c r="A18" s="207" t="s">
        <v>129</v>
      </c>
      <c r="B18" s="202">
        <f>'конкурсная документация'!B37</f>
        <v>0.5</v>
      </c>
      <c r="C18" s="201">
        <f>B18*(1+0.75*'конкурсная документация'!B38)/(1+0.75*B18*'конкурсная документация'!B38+B19)</f>
        <v>0.5</v>
      </c>
      <c r="D18" s="201">
        <f>C18*(1+0.75*'конкурсная документация'!C38)/(1+0.75*C18*'конкурсная документация'!C38+C19)</f>
        <v>0.5789473684210527</v>
      </c>
      <c r="E18" s="201">
        <f>D18*(1+0.75*'конкурсная документация'!D38)/(1+0.75*D18*'конкурсная документация'!D38+D19)</f>
        <v>0.612590799031477</v>
      </c>
      <c r="F18" s="201">
        <f>E18*(1+0.75*'конкурсная документация'!E38)/(1+0.75*E18*'конкурсная документация'!E38+E19)</f>
        <v>0.6595201361919455</v>
      </c>
      <c r="G18" s="201">
        <f>F18*(1+0.75*'конкурсная документация'!F38)/(1+0.75*F18*'конкурсная документация'!F38+F19)</f>
        <v>0.6595201361919455</v>
      </c>
      <c r="H18" s="201">
        <f>G18*(1+0.75*'конкурсная документация'!G38)/(1+0.75*G18*'конкурсная документация'!G38+G19)</f>
        <v>0.6595201361919455</v>
      </c>
      <c r="I18" s="201">
        <f>H18*(1+0.75*'конкурсная документация'!H38)/(1+0.75*H18*'конкурсная документация'!H38+H19)</f>
        <v>0.6595201361919455</v>
      </c>
      <c r="J18" s="201">
        <f>I18*(1+0.75*'конкурсная документация'!I38)/(1+0.75*I18*'конкурсная документация'!I38+I19)</f>
        <v>0.6595201361919455</v>
      </c>
      <c r="K18" s="201">
        <f>J18*(1+0.75*'конкурсная документация'!J38)/(1+0.75*J18*'конкурсная документация'!J38+J19)</f>
        <v>0.6595201361919455</v>
      </c>
      <c r="L18" s="201">
        <f>K18*(1+0.75*'конкурсная документация'!K38)/(1+0.75*K18*'конкурсная документация'!K38+K19)</f>
        <v>0.6595201361919455</v>
      </c>
      <c r="M18" s="201">
        <f>L18*(1+0.75*'конкурсная документация'!L38)/(1+0.75*L18*'конкурсная документация'!L38+L19)</f>
        <v>0.6595201361919455</v>
      </c>
      <c r="N18" s="201">
        <f>M18*(1+0.75*'конкурсная документация'!M38)/(1+0.75*M18*'конкурсная документация'!M38+M19)</f>
        <v>0.6595201361919455</v>
      </c>
      <c r="O18" s="201">
        <f>N18*(1+0.75*'конкурсная документация'!N38)/(1+0.75*N18*'конкурсная документация'!N38+N19)</f>
        <v>0.6595201361919455</v>
      </c>
      <c r="P18" s="201">
        <f>O18*(1+0.75*'конкурсная документация'!O38)/(1+0.75*O18*'конкурсная документация'!O38+O19)</f>
        <v>0.6595201361919455</v>
      </c>
      <c r="Q18" s="201">
        <f>P18*(1+0.75*'конкурсная документация'!P38)/(1+0.75*P18*'конкурсная документация'!P38+P19)</f>
        <v>0.6595201361919455</v>
      </c>
      <c r="R18" s="201">
        <f>Q18*(1+0.75*'конкурсная документация'!Q38)/(1+0.75*Q18*'конкурсная документация'!Q38+Q19)</f>
        <v>0.6595201361919455</v>
      </c>
      <c r="S18" s="201">
        <f>R18*(1+0.75*'конкурсная документация'!R38)/(1+0.75*R18*'конкурсная документация'!R38+R19)</f>
        <v>0.6595201361919455</v>
      </c>
      <c r="T18" s="201">
        <f>S18*(1+0.75*'конкурсная документация'!S38)/(1+0.75*S18*'конкурсная документация'!S38+S19)</f>
        <v>0.6595201361919455</v>
      </c>
      <c r="U18" s="201">
        <f>T18*(1+0.75*'конкурсная документация'!T38)/(1+0.75*T18*'конкурсная документация'!T38+T19)</f>
        <v>0.6595201361919455</v>
      </c>
      <c r="V18" s="201">
        <f>U18*(1+0.75*'конкурсная документация'!U38)/(1+0.75*U18*'конкурсная документация'!U38+U19)</f>
        <v>0.6595201361919455</v>
      </c>
      <c r="W18" s="201">
        <f>V18*(1+0.75*'конкурсная документация'!V38)/(1+0.75*V18*'конкурсная документация'!V38+V19)</f>
        <v>0.6595201361919455</v>
      </c>
      <c r="X18" s="201">
        <f>W18*(1+0.75*'конкурсная документация'!W38)/(1+0.75*W18*'конкурсная документация'!W38+W19)</f>
        <v>0.6595201361919455</v>
      </c>
      <c r="Y18" s="201">
        <f>X18*(1+0.75*'конкурсная документация'!X38)/(1+0.75*X18*'конкурсная документация'!X38+X19)</f>
        <v>0.6595201361919455</v>
      </c>
      <c r="Z18" s="201">
        <f>Y18*(1+0.75*'конкурсная документация'!Y38)/(1+0.75*Y18*'конкурсная документация'!Y38+Y19)</f>
        <v>0.6595201361919455</v>
      </c>
      <c r="AA18" s="201">
        <f>Z18*(1+0.75*'конкурсная документация'!Z38)/(1+0.75*Z18*'конкурсная документация'!Z38+Z19)</f>
        <v>0.6595201361919455</v>
      </c>
      <c r="AB18" s="201">
        <f>AA18*(1+0.75*'конкурсная документация'!AA38)/(1+0.75*AA18*'конкурсная документация'!AA38+AA19)</f>
        <v>0.6595201361919455</v>
      </c>
      <c r="AC18" s="201">
        <f>AB18*(1+0.75*'конкурсная документация'!AB38)/(1+0.75*AB18*'конкурсная документация'!AB38+AB19)</f>
        <v>0.6595201361919455</v>
      </c>
      <c r="AD18" s="201">
        <f>AC18*(1+0.75*'конкурсная документация'!AC38)/(1+0.75*AC18*'конкурсная документация'!AC38+AC19)</f>
        <v>0.6595201361919455</v>
      </c>
      <c r="AE18" s="201">
        <f>AD18*(1+0.75*'конкурсная документация'!AD38)/(1+0.75*AD18*'конкурсная документация'!AD38+AD19)</f>
        <v>0.6595201361919455</v>
      </c>
      <c r="AF18" s="201">
        <f>AE18*(1+0.75*'конкурсная документация'!AE38)/(1+0.75*AE18*'конкурсная документация'!AE38+AE19)</f>
        <v>0.6595201361919455</v>
      </c>
    </row>
    <row r="19" spans="1:32" s="16" customFormat="1" ht="90">
      <c r="A19" s="207" t="s">
        <v>156</v>
      </c>
      <c r="B19" s="202"/>
      <c r="C19" s="201">
        <f>'конкурсная документация'!C39</f>
        <v>0</v>
      </c>
      <c r="D19" s="201">
        <f>'конкурсная документация'!D39</f>
        <v>0</v>
      </c>
      <c r="E19" s="201">
        <f>'конкурсная документация'!E39</f>
        <v>0</v>
      </c>
      <c r="F19" s="201">
        <f>'конкурсная документация'!F39</f>
        <v>0</v>
      </c>
      <c r="G19" s="201">
        <f>'конкурсная документация'!G39</f>
        <v>0</v>
      </c>
      <c r="H19" s="201">
        <f>'конкурсная документация'!H39</f>
        <v>0</v>
      </c>
      <c r="I19" s="201">
        <f>'конкурсная документация'!I39</f>
        <v>0</v>
      </c>
      <c r="J19" s="201">
        <f>'конкурсная документация'!J39</f>
        <v>0</v>
      </c>
      <c r="K19" s="201">
        <f>'конкурсная документация'!K39</f>
        <v>0</v>
      </c>
      <c r="L19" s="201">
        <f>'конкурсная документация'!L39</f>
        <v>0</v>
      </c>
      <c r="M19" s="201">
        <f>'конкурсная документация'!M39</f>
        <v>0</v>
      </c>
      <c r="N19" s="201">
        <f>'конкурсная документация'!N39</f>
        <v>0</v>
      </c>
      <c r="O19" s="201">
        <f>'конкурсная документация'!O39</f>
        <v>0</v>
      </c>
      <c r="P19" s="201">
        <f>'конкурсная документация'!P39</f>
        <v>0</v>
      </c>
      <c r="Q19" s="201">
        <f>'конкурсная документация'!Q39</f>
        <v>0</v>
      </c>
      <c r="R19" s="201">
        <f>'конкурсная документация'!R39</f>
        <v>0</v>
      </c>
      <c r="S19" s="201">
        <f>'конкурсная документация'!S39</f>
        <v>0</v>
      </c>
      <c r="T19" s="201">
        <f>'конкурсная документация'!T39</f>
        <v>0</v>
      </c>
      <c r="U19" s="201">
        <f>'конкурсная документация'!U39</f>
        <v>0</v>
      </c>
      <c r="V19" s="201">
        <f>'конкурсная документация'!V39</f>
        <v>0</v>
      </c>
      <c r="W19" s="201">
        <f>'конкурсная документация'!W39</f>
        <v>0</v>
      </c>
      <c r="X19" s="201">
        <f>'конкурсная документация'!X39</f>
        <v>0</v>
      </c>
      <c r="Y19" s="201">
        <f>'конкурсная документация'!Y39</f>
        <v>0</v>
      </c>
      <c r="Z19" s="201">
        <f>'конкурсная документация'!Z39</f>
        <v>0</v>
      </c>
      <c r="AA19" s="201">
        <f>'конкурсная документация'!AA39</f>
        <v>0</v>
      </c>
      <c r="AB19" s="201">
        <f>'конкурсная документация'!AB39</f>
        <v>0</v>
      </c>
      <c r="AC19" s="201">
        <f>'конкурсная документация'!AC39</f>
        <v>0</v>
      </c>
      <c r="AD19" s="201">
        <f>'конкурсная документация'!AD39</f>
        <v>0</v>
      </c>
      <c r="AE19" s="201">
        <f>'конкурсная документация'!AE39</f>
        <v>0</v>
      </c>
      <c r="AF19" s="201">
        <f>'конкурсная документация'!AF39</f>
        <v>0</v>
      </c>
    </row>
    <row r="20" spans="1:32" s="16" customFormat="1" ht="30">
      <c r="A20" s="207" t="s">
        <v>155</v>
      </c>
      <c r="B20" s="180"/>
      <c r="C20" s="194">
        <f>0.75*B18*'конкурсная документация'!C38+C19</f>
        <v>0.1875</v>
      </c>
      <c r="D20" s="194">
        <f>0.75*C18*'конкурсная документация'!D38+D19</f>
        <v>0.07500000000000001</v>
      </c>
      <c r="E20" s="194">
        <f>0.75*D18*'конкурсная документация'!E38+E19</f>
        <v>0.13026315789473683</v>
      </c>
      <c r="F20" s="194">
        <f>0.75*E18*'конкурсная документация'!F38+F19</f>
        <v>0</v>
      </c>
      <c r="G20" s="194">
        <f>0.75*F18*'конкурсная документация'!G38+G19</f>
        <v>0</v>
      </c>
      <c r="H20" s="194">
        <f>0.75*G18*'конкурсная документация'!H38+H19</f>
        <v>0</v>
      </c>
      <c r="I20" s="194">
        <f>0.75*H18*'конкурсная документация'!I38+I19</f>
        <v>0</v>
      </c>
      <c r="J20" s="194">
        <f>0.75*I18*'конкурсная документация'!J38+J19</f>
        <v>0</v>
      </c>
      <c r="K20" s="194">
        <f>0.75*J18*'конкурсная документация'!K38+K19</f>
        <v>0</v>
      </c>
      <c r="L20" s="194">
        <f>0.75*K18*'конкурсная документация'!L38+L19</f>
        <v>0</v>
      </c>
      <c r="M20" s="194">
        <f>0.75*L18*'конкурсная документация'!M38+M19</f>
        <v>0</v>
      </c>
      <c r="N20" s="194">
        <f>0.75*M18*'конкурсная документация'!N38+N19</f>
        <v>0</v>
      </c>
      <c r="O20" s="194">
        <f>0.75*N18*'конкурсная документация'!O38+O19</f>
        <v>0</v>
      </c>
      <c r="P20" s="194">
        <f>0.75*O18*'конкурсная документация'!P38+P19</f>
        <v>0</v>
      </c>
      <c r="Q20" s="194">
        <f>0.75*P18*'конкурсная документация'!Q38+Q19</f>
        <v>0</v>
      </c>
      <c r="R20" s="194">
        <f>0.75*Q18*'конкурсная документация'!R38+R19</f>
        <v>0</v>
      </c>
      <c r="S20" s="194">
        <f>0.75*R18*'конкурсная документация'!S38+S19</f>
        <v>0</v>
      </c>
      <c r="T20" s="194">
        <f>0.75*S18*'конкурсная документация'!T38+T19</f>
        <v>0</v>
      </c>
      <c r="U20" s="194">
        <f>0.75*T18*'конкурсная документация'!U38+U19</f>
        <v>0</v>
      </c>
      <c r="V20" s="194">
        <f>0.75*U18*'конкурсная документация'!V38+V19</f>
        <v>0</v>
      </c>
      <c r="W20" s="194">
        <f>0.75*V18*'конкурсная документация'!W38+W19</f>
        <v>0</v>
      </c>
      <c r="X20" s="194">
        <f>0.75*W18*'конкурсная документация'!X38+X19</f>
        <v>0</v>
      </c>
      <c r="Y20" s="194">
        <f>0.75*X18*'конкурсная документация'!Y38+Y19</f>
        <v>0</v>
      </c>
      <c r="Z20" s="194">
        <f>0.75*Y18*'конкурсная документация'!Z38+Z19</f>
        <v>0</v>
      </c>
      <c r="AA20" s="194">
        <f>0.75*Z18*'конкурсная документация'!AA38+AA19</f>
        <v>0</v>
      </c>
      <c r="AB20" s="194">
        <f>0.75*AA18*'конкурсная документация'!AB38+AB19</f>
        <v>0</v>
      </c>
      <c r="AC20" s="194">
        <f>0.75*AB18*'конкурсная документация'!AC38+AC19</f>
        <v>0</v>
      </c>
      <c r="AD20" s="194">
        <f>0.75*AC18*'конкурсная документация'!AD38+AD19</f>
        <v>0</v>
      </c>
      <c r="AE20" s="194">
        <f>0.75*AD18*'конкурсная документация'!AE38+AE19</f>
        <v>0</v>
      </c>
      <c r="AF20" s="194">
        <f>0.75*AE18*'конкурсная документация'!AF38+AF19</f>
        <v>0</v>
      </c>
    </row>
    <row r="21" spans="1:32" s="16" customFormat="1" ht="15.75" customHeight="1">
      <c r="A21" s="212" t="s">
        <v>61</v>
      </c>
      <c r="B21" s="213"/>
      <c r="C21" s="214">
        <f>SUM(C22,C25)</f>
        <v>3.2979991609220742</v>
      </c>
      <c r="D21" s="214">
        <f aca="true" t="shared" si="1" ref="D21:AF21">SUM(D22,D25)</f>
        <v>2.2265882379072752</v>
      </c>
      <c r="E21" s="214">
        <f t="shared" si="1"/>
        <v>2.3652379844205083</v>
      </c>
      <c r="F21" s="214">
        <f t="shared" si="1"/>
        <v>2.479147595613798</v>
      </c>
      <c r="G21" s="214">
        <f t="shared" si="1"/>
        <v>2.6991525759454307</v>
      </c>
      <c r="H21" s="214">
        <f t="shared" si="1"/>
        <v>2.940023934498231</v>
      </c>
      <c r="I21" s="214">
        <f t="shared" si="1"/>
        <v>3.203580106014681</v>
      </c>
      <c r="J21" s="214">
        <f t="shared" si="1"/>
        <v>3.4891981315477993</v>
      </c>
      <c r="K21" s="214">
        <f t="shared" si="1"/>
        <v>3.801314840686419</v>
      </c>
      <c r="L21" s="214">
        <f t="shared" si="1"/>
        <v>4.142196015279673</v>
      </c>
      <c r="M21" s="214">
        <f t="shared" si="1"/>
        <v>4.511274136558723</v>
      </c>
      <c r="N21" s="214">
        <f t="shared" si="1"/>
        <v>4.745967944081232</v>
      </c>
      <c r="O21" s="214">
        <f t="shared" si="1"/>
        <v>4.992871127969931</v>
      </c>
      <c r="P21" s="214">
        <f t="shared" si="1"/>
        <v>5.252614987728857</v>
      </c>
      <c r="Q21" s="214">
        <f t="shared" si="1"/>
        <v>5.525863056048475</v>
      </c>
      <c r="R21" s="214">
        <f t="shared" si="1"/>
        <v>5.813312710111672</v>
      </c>
      <c r="S21" s="214">
        <f t="shared" si="1"/>
        <v>6.115696860733353</v>
      </c>
      <c r="T21" s="214">
        <f t="shared" si="1"/>
        <v>6.433785722882757</v>
      </c>
      <c r="U21" s="214">
        <f t="shared" si="1"/>
        <v>6.768388671282986</v>
      </c>
      <c r="V21" s="214">
        <f t="shared" si="1"/>
        <v>7.120356184931975</v>
      </c>
      <c r="W21" s="214">
        <f t="shared" si="1"/>
        <v>7.490581884543547</v>
      </c>
      <c r="X21" s="214">
        <f t="shared" si="1"/>
        <v>7.880004667066196</v>
      </c>
      <c r="Y21" s="214">
        <f t="shared" si="1"/>
        <v>8.289610941600813</v>
      </c>
      <c r="Z21" s="214">
        <f t="shared" si="1"/>
        <v>8.684836085559771</v>
      </c>
      <c r="AA21" s="214">
        <f t="shared" si="1"/>
        <v>9.098134849394684</v>
      </c>
      <c r="AB21" s="214">
        <f t="shared" si="1"/>
        <v>9.554927540430066</v>
      </c>
      <c r="AC21" s="214">
        <f t="shared" si="1"/>
        <v>10.033549992667343</v>
      </c>
      <c r="AD21" s="214">
        <f t="shared" si="1"/>
        <v>10.534959717509517</v>
      </c>
      <c r="AE21" s="214">
        <f t="shared" si="1"/>
        <v>11.1081741963595</v>
      </c>
      <c r="AF21" s="214">
        <f t="shared" si="1"/>
        <v>11.72719365601716</v>
      </c>
    </row>
    <row r="22" spans="1:32" s="16" customFormat="1" ht="14.25" customHeight="1">
      <c r="A22" s="215" t="s">
        <v>19</v>
      </c>
      <c r="B22" s="216"/>
      <c r="C22" s="195">
        <f>C23*C24/1000</f>
        <v>0.8108584201813334</v>
      </c>
      <c r="D22" s="195">
        <f aca="true" t="shared" si="2" ref="D22:AF22">D23*D24/1000</f>
        <v>0.8667193130177319</v>
      </c>
      <c r="E22" s="195">
        <f t="shared" si="2"/>
        <v>0.9186998145815622</v>
      </c>
      <c r="F22" s="195">
        <f t="shared" si="2"/>
        <v>0.9547448238525171</v>
      </c>
      <c r="G22" s="195">
        <f t="shared" si="2"/>
        <v>1.0365346228774128</v>
      </c>
      <c r="H22" s="195">
        <f t="shared" si="2"/>
        <v>1.1257789257082451</v>
      </c>
      <c r="I22" s="195">
        <f t="shared" si="2"/>
        <v>1.2230875897216067</v>
      </c>
      <c r="J22" s="195">
        <f t="shared" si="2"/>
        <v>1.328130016873233</v>
      </c>
      <c r="K22" s="195">
        <f t="shared" si="2"/>
        <v>1.4424954537473889</v>
      </c>
      <c r="L22" s="195">
        <f t="shared" si="2"/>
        <v>1.5669276565031311</v>
      </c>
      <c r="M22" s="195">
        <f t="shared" si="2"/>
        <v>1.701087279341966</v>
      </c>
      <c r="N22" s="195">
        <f t="shared" si="2"/>
        <v>1.7837417701110228</v>
      </c>
      <c r="O22" s="195">
        <f t="shared" si="2"/>
        <v>1.870283221704847</v>
      </c>
      <c r="P22" s="195">
        <f t="shared" si="2"/>
        <v>1.9608833239001997</v>
      </c>
      <c r="Q22" s="195">
        <f t="shared" si="2"/>
        <v>2.0557204366508817</v>
      </c>
      <c r="R22" s="195">
        <f t="shared" si="2"/>
        <v>2.154979771245796</v>
      </c>
      <c r="S22" s="195">
        <f t="shared" si="2"/>
        <v>2.2588535688924813</v>
      </c>
      <c r="T22" s="195">
        <f t="shared" si="2"/>
        <v>2.3675412757352077</v>
      </c>
      <c r="U22" s="195">
        <f t="shared" si="2"/>
        <v>2.481249713204718</v>
      </c>
      <c r="V22" s="195">
        <f t="shared" si="2"/>
        <v>2.6001932424745395</v>
      </c>
      <c r="W22" s="195">
        <f t="shared" si="2"/>
        <v>2.7245939216658424</v>
      </c>
      <c r="X22" s="195">
        <f t="shared" si="2"/>
        <v>2.854681654298044</v>
      </c>
      <c r="Y22" s="195">
        <f t="shared" si="2"/>
        <v>2.9906943273249422</v>
      </c>
      <c r="Z22" s="195">
        <f t="shared" si="2"/>
        <v>3.097277051278104</v>
      </c>
      <c r="AA22" s="195">
        <f t="shared" si="2"/>
        <v>3.2060502241655247</v>
      </c>
      <c r="AB22" s="195">
        <f t="shared" si="2"/>
        <v>3.3254772418339704</v>
      </c>
      <c r="AC22" s="195">
        <f t="shared" si="2"/>
        <v>3.4473732369722843</v>
      </c>
      <c r="AD22" s="195">
        <f t="shared" si="2"/>
        <v>3.571582362550072</v>
      </c>
      <c r="AE22" s="195">
        <f t="shared" si="2"/>
        <v>3.745944598038962</v>
      </c>
      <c r="AF22" s="195">
        <f t="shared" si="2"/>
        <v>3.9332353630463874</v>
      </c>
    </row>
    <row r="23" spans="1:32" s="170" customFormat="1" ht="30">
      <c r="A23" s="217" t="s">
        <v>101</v>
      </c>
      <c r="B23" s="218"/>
      <c r="C23" s="206">
        <f>'конкурсные предложения'!B12*'конкурсная документация'!C44/(1-'конкурсные предложения'!B11)</f>
        <v>193.0577777777778</v>
      </c>
      <c r="D23" s="206">
        <f>'конкурсные предложения'!C12*'конкурсная документация'!D44/(1-'конкурсные предложения'!C11)</f>
        <v>190.1914580265096</v>
      </c>
      <c r="E23" s="206">
        <f>'конкурсные предложения'!D12*'конкурсная документация'!E44/(1-'конкурсные предложения'!D11)</f>
        <v>187.35871156661787</v>
      </c>
      <c r="F23" s="206">
        <f>'конкурсные предложения'!E12*'конкурсная документация'!F44/(1-'конкурсные предложения'!E11)</f>
        <v>184.55895196506552</v>
      </c>
      <c r="G23" s="206">
        <f>'конкурсные предложения'!F12*'конкурсная документация'!G44/(1-'конкурсные предложения'!F11)</f>
        <v>188.14037626628073</v>
      </c>
      <c r="H23" s="206">
        <f>'конкурсные предложения'!G12*'конкурсная документация'!H44/(1-'конкурсные предложения'!G11)</f>
        <v>191.86762589928057</v>
      </c>
      <c r="I23" s="206">
        <f>'конкурсные предложения'!H12*'конкурсная документация'!I44/(1-'конкурсные предложения'!H11)</f>
        <v>195.7296137339056</v>
      </c>
      <c r="J23" s="206">
        <f>'конкурсные предложения'!I12*'конкурсная документация'!J44/(1-'конкурсные предложения'!I11)</f>
        <v>199.56756756756758</v>
      </c>
      <c r="K23" s="206">
        <f>'конкурсные предложения'!J12*'конкурсная документация'!K44/(1-'конкурсные предложения'!J11)</f>
        <v>203.5233380480905</v>
      </c>
      <c r="L23" s="206">
        <f>'конкурсные предложения'!K12*'конкурсная документация'!L44/(1-'конкурсные предложения'!K11)</f>
        <v>207.58649789029533</v>
      </c>
      <c r="M23" s="206">
        <f>'конкурсные предложения'!L12*'конкурсная документация'!M44/(1-'конкурсные предложения'!L11)</f>
        <v>211.6055944055944</v>
      </c>
      <c r="N23" s="206">
        <f>'конкурсные предложения'!M12*'конкурсная документация'!N44/(1-'конкурсные предложения'!M11)</f>
        <v>208.3449235048679</v>
      </c>
      <c r="O23" s="206">
        <f>'конкурсные предложения'!N12*'конкурсная документация'!O44/(1-'конкурсные предложения'!N11)</f>
        <v>205.12033195020751</v>
      </c>
      <c r="P23" s="206">
        <f>'конкурсные предложения'!O12*'конкурсная документация'!P44/(1-'конкурсные предложения'!O11)</f>
        <v>201.9312242090784</v>
      </c>
      <c r="Q23" s="206">
        <f>'конкурсные предложения'!P12*'конкурсная документация'!Q44/(1-'конкурсные предложения'!P11)</f>
        <v>198.77701778385776</v>
      </c>
      <c r="R23" s="206">
        <f>'конкурсные предложения'!Q12*'конкурсная документация'!R44/(1-'конкурсные предложения'!Q11)</f>
        <v>195.65714285714284</v>
      </c>
      <c r="S23" s="206">
        <f>'конкурсные предложения'!R12*'конкурсная документация'!S44/(1-'конкурсные предложения'!R11)</f>
        <v>192.57104194857916</v>
      </c>
      <c r="T23" s="206">
        <f>'конкурсные предложения'!S12*'конкурсная документация'!T44/(1-'конкурсные предложения'!S11)</f>
        <v>189.51816958277257</v>
      </c>
      <c r="U23" s="206">
        <f>'конкурсные предложения'!T12*'конкурсная документация'!U44/(1-'конкурсные предложения'!T11)</f>
        <v>186.4979919678715</v>
      </c>
      <c r="V23" s="206">
        <f>'конкурсные предложения'!U12*'конкурсная документация'!V44/(1-'конкурсные предложения'!U11)</f>
        <v>183.50998668442077</v>
      </c>
      <c r="W23" s="206">
        <f>'конкурсные предложения'!V12*'конкурсная документация'!W44/(1-'конкурсные предложения'!V11)</f>
        <v>180.55364238410598</v>
      </c>
      <c r="X23" s="206">
        <f>'конкурсные предложения'!W12*'конкурсная документация'!X44/(1-'конкурсные предложения'!W11)</f>
        <v>177.62845849802375</v>
      </c>
      <c r="Y23" s="206">
        <f>'конкурсные предложения'!X12*'конкурсная документация'!Y44/(1-'конкурсные предложения'!X11)</f>
        <v>174.73394495412845</v>
      </c>
      <c r="Z23" s="206">
        <f>'конкурсные предложения'!Y12*'конкурсная документация'!Z44/(1-'конкурсные предложения'!Y11)</f>
        <v>169.91655801825297</v>
      </c>
      <c r="AA23" s="206">
        <f>'конкурсные предложения'!Z12*'конкурсная документация'!AA44/(1-'конкурсные предложения'!Z11)</f>
        <v>165.1491569390402</v>
      </c>
      <c r="AB23" s="206">
        <f>'конкурсные предложения'!AA12*'конкурсная документация'!AB44/(1-'конкурсные предложения'!AA11)</f>
        <v>160.84605433376456</v>
      </c>
      <c r="AC23" s="206">
        <f>'конкурсные предложения'!AB12*'конкурсная документация'!AC44/(1-'конкурсные предложения'!AB11)</f>
        <v>156.5651612903226</v>
      </c>
      <c r="AD23" s="206">
        <f>'конкурсные предложения'!AC12*'конкурсная документация'!AD44/(1-'конкурсные предложения'!AC11)</f>
        <v>152.3063063063063</v>
      </c>
      <c r="AE23" s="206">
        <f>'конкурсные предложения'!AD12*'конкурсная документация'!AE44/(1-'конкурсные предложения'!AD11)</f>
        <v>149.992297817715</v>
      </c>
      <c r="AF23" s="206">
        <f>'конкурсные предложения'!AE12*'конкурсная документация'!AF44/(1-'конкурсные предложения'!AE11)</f>
        <v>147.8794871794872</v>
      </c>
    </row>
    <row r="24" spans="1:32" s="170" customFormat="1" ht="15" customHeight="1">
      <c r="A24" s="217" t="s">
        <v>21</v>
      </c>
      <c r="B24" s="218"/>
      <c r="C24" s="206">
        <f>'конкурсная документация'!$B$15*C10</f>
        <v>4.2000816</v>
      </c>
      <c r="D24" s="206">
        <f>'конкурсная документация'!$B$15*D10</f>
        <v>4.557088535999999</v>
      </c>
      <c r="E24" s="206">
        <f>'конкурсная документация'!$B$15*E10</f>
        <v>4.903427264736</v>
      </c>
      <c r="F24" s="206">
        <f>'конкурсная документация'!$B$15*F10</f>
        <v>5.17311576429648</v>
      </c>
      <c r="G24" s="206">
        <f>'конкурсная документация'!$B$15*G10</f>
        <v>5.50936828897575</v>
      </c>
      <c r="H24" s="206">
        <f>'конкурсная документация'!$B$15*H10</f>
        <v>5.867477227759174</v>
      </c>
      <c r="I24" s="206">
        <f>'конкурсная документация'!$B$15*I10</f>
        <v>6.24886324756352</v>
      </c>
      <c r="J24" s="206">
        <f>'конкурсная документация'!$B$15*J10</f>
        <v>6.655039358655149</v>
      </c>
      <c r="K24" s="206">
        <f>'конкурсная документация'!$B$15*K10</f>
        <v>7.087616916967733</v>
      </c>
      <c r="L24" s="206">
        <f>'конкурсная документация'!$B$15*L10</f>
        <v>7.548312016570636</v>
      </c>
      <c r="M24" s="206">
        <f>'конкурсная документация'!$B$15*M10</f>
        <v>8.038952297647727</v>
      </c>
      <c r="N24" s="206">
        <f>'конкурсная документация'!$B$15*N10</f>
        <v>8.561484196994828</v>
      </c>
      <c r="O24" s="206">
        <f>'конкурсная документация'!$B$15*O10</f>
        <v>9.117980669799492</v>
      </c>
      <c r="P24" s="206">
        <f>'конкурсная документация'!$B$15*P10</f>
        <v>9.710649413336457</v>
      </c>
      <c r="Q24" s="206">
        <f>'конкурсная документация'!$B$15*Q10</f>
        <v>10.341841625203326</v>
      </c>
      <c r="R24" s="206">
        <f>'конкурсная документация'!$B$15*R10</f>
        <v>11.01406133084154</v>
      </c>
      <c r="S24" s="206">
        <f>'конкурсная документация'!$B$15*S10</f>
        <v>11.729975317346241</v>
      </c>
      <c r="T24" s="206">
        <f>'конкурсная документация'!$B$15*T10</f>
        <v>12.492423712973746</v>
      </c>
      <c r="U24" s="206">
        <f>'конкурсная документация'!$B$15*U10</f>
        <v>13.30443125431704</v>
      </c>
      <c r="V24" s="206">
        <f>'конкурсная документация'!$B$15*V10</f>
        <v>14.169219285847646</v>
      </c>
      <c r="W24" s="206">
        <f>'конкурсная документация'!$B$15*W10</f>
        <v>15.090218539427742</v>
      </c>
      <c r="X24" s="206">
        <f>'конкурсная документация'!$B$15*X10</f>
        <v>16.071082744490543</v>
      </c>
      <c r="Y24" s="206">
        <f>'конкурсная документация'!$B$15*Y10</f>
        <v>17.115703122882426</v>
      </c>
      <c r="Z24" s="206">
        <f>'конкурсная документация'!$B$15*Z10</f>
        <v>18.228223825869783</v>
      </c>
      <c r="AA24" s="206">
        <f>'конкурсная документация'!$B$15*AA10</f>
        <v>19.41305837455132</v>
      </c>
      <c r="AB24" s="206">
        <f>'конкурсная документация'!$B$15*AB10</f>
        <v>20.674907168897157</v>
      </c>
      <c r="AC24" s="206">
        <f>'конкурсная документация'!$B$15*AC10</f>
        <v>22.01877613487547</v>
      </c>
      <c r="AD24" s="206">
        <f>'конкурсная документация'!$B$15*AD10</f>
        <v>23.449996583642374</v>
      </c>
      <c r="AE24" s="206">
        <f>'конкурсная документация'!$B$15*AE10</f>
        <v>24.974246361579127</v>
      </c>
      <c r="AF24" s="206">
        <f>'конкурсная документация'!$B$15*AF10</f>
        <v>26.59757237508177</v>
      </c>
    </row>
    <row r="25" spans="1:32" s="16" customFormat="1" ht="15">
      <c r="A25" s="215" t="s">
        <v>234</v>
      </c>
      <c r="B25" s="216"/>
      <c r="C25" s="195">
        <f aca="true" t="shared" si="3" ref="C25:AF25">C26*C27/1000</f>
        <v>2.487140740740741</v>
      </c>
      <c r="D25" s="195">
        <f t="shared" si="3"/>
        <v>1.3598689248895435</v>
      </c>
      <c r="E25" s="195">
        <f t="shared" si="3"/>
        <v>1.4465381698389461</v>
      </c>
      <c r="F25" s="195">
        <f t="shared" si="3"/>
        <v>1.524402771761281</v>
      </c>
      <c r="G25" s="195">
        <f t="shared" si="3"/>
        <v>1.6626179530680176</v>
      </c>
      <c r="H25" s="195">
        <f t="shared" si="3"/>
        <v>1.814245008789986</v>
      </c>
      <c r="I25" s="195">
        <f t="shared" si="3"/>
        <v>1.9804925162930742</v>
      </c>
      <c r="J25" s="195">
        <f t="shared" si="3"/>
        <v>2.1610681146745665</v>
      </c>
      <c r="K25" s="195">
        <f t="shared" si="3"/>
        <v>2.3588193869390297</v>
      </c>
      <c r="L25" s="195">
        <f t="shared" si="3"/>
        <v>2.5752683587765417</v>
      </c>
      <c r="M25" s="195">
        <f t="shared" si="3"/>
        <v>2.8101868572167565</v>
      </c>
      <c r="N25" s="195">
        <f t="shared" si="3"/>
        <v>2.962226173970209</v>
      </c>
      <c r="O25" s="195">
        <f t="shared" si="3"/>
        <v>3.122587906265083</v>
      </c>
      <c r="P25" s="195">
        <f t="shared" si="3"/>
        <v>3.291731663828658</v>
      </c>
      <c r="Q25" s="195">
        <f t="shared" si="3"/>
        <v>3.4701426193975937</v>
      </c>
      <c r="R25" s="195">
        <f t="shared" si="3"/>
        <v>3.6583329388658767</v>
      </c>
      <c r="S25" s="195">
        <f t="shared" si="3"/>
        <v>3.856843291840872</v>
      </c>
      <c r="T25" s="195">
        <f t="shared" si="3"/>
        <v>4.0662444471475485</v>
      </c>
      <c r="U25" s="195">
        <f t="shared" si="3"/>
        <v>4.287138958078269</v>
      </c>
      <c r="V25" s="195">
        <f t="shared" si="3"/>
        <v>4.520162942457436</v>
      </c>
      <c r="W25" s="195">
        <f t="shared" si="3"/>
        <v>4.765987962877705</v>
      </c>
      <c r="X25" s="195">
        <f t="shared" si="3"/>
        <v>5.025323012768151</v>
      </c>
      <c r="Y25" s="195">
        <f t="shared" si="3"/>
        <v>5.29891661427587</v>
      </c>
      <c r="Z25" s="195">
        <f t="shared" si="3"/>
        <v>5.587559034281667</v>
      </c>
      <c r="AA25" s="195">
        <f t="shared" si="3"/>
        <v>5.89208462522916</v>
      </c>
      <c r="AB25" s="195">
        <f t="shared" si="3"/>
        <v>6.229450298596096</v>
      </c>
      <c r="AC25" s="195">
        <f t="shared" si="3"/>
        <v>6.586176755695058</v>
      </c>
      <c r="AD25" s="195">
        <f t="shared" si="3"/>
        <v>6.963377354959445</v>
      </c>
      <c r="AE25" s="195">
        <f t="shared" si="3"/>
        <v>7.362229598320537</v>
      </c>
      <c r="AF25" s="195">
        <f t="shared" si="3"/>
        <v>7.793958292970772</v>
      </c>
    </row>
    <row r="26" spans="1:32" s="170" customFormat="1" ht="30">
      <c r="A26" s="217" t="s">
        <v>235</v>
      </c>
      <c r="B26" s="218"/>
      <c r="C26" s="221">
        <f>'конкурсная документация'!C44/(1-'конкурсные предложения'!B11)*'конкурсная документация'!C30</f>
        <v>173.92592592592592</v>
      </c>
      <c r="D26" s="221">
        <f>'конкурсная документация'!D44/(1-'конкурсные предложения'!C11)*'конкурсная документация'!D30</f>
        <v>86.45066273932252</v>
      </c>
      <c r="E26" s="221">
        <f>'конкурсная документация'!E44/(1-'конкурсные предложения'!D11)*'конкурсная документация'!E30</f>
        <v>85.94436310395315</v>
      </c>
      <c r="F26" s="221">
        <f>'конкурсная документация'!F44/(1-'конкурсные предложения'!E11)*'конкурсная документация'!F30</f>
        <v>85.44395924308587</v>
      </c>
      <c r="G26" s="221">
        <f>'конкурсная документация'!G44/(1-'конкурсные предложения'!F11)*'конкурсная документация'!G30</f>
        <v>87.91606367583212</v>
      </c>
      <c r="H26" s="221">
        <f>'конкурсная документация'!H44/(1-'конкурсные предложения'!G11)*'конкурсная документация'!H30</f>
        <v>90.50359712230215</v>
      </c>
      <c r="I26" s="221">
        <f>'конкурсная документация'!I44/(1-'конкурсные предложения'!H11)*'конкурсная документация'!I30</f>
        <v>93.20457796852646</v>
      </c>
      <c r="J26" s="221">
        <f>'конкурсная документация'!J44/(1-'конкурсные предложения'!I11)*'конкурсная документация'!J30</f>
        <v>95.94594594594594</v>
      </c>
      <c r="K26" s="221">
        <f>'конкурсная документация'!K44/(1-'конкурсные предложения'!J11)*'конкурсная документация'!K30</f>
        <v>98.79773691654879</v>
      </c>
      <c r="L26" s="221">
        <f>'конкурсная документация'!L44/(1-'конкурсные предложения'!K11)*'конкурсная документация'!L30</f>
        <v>101.75808720112515</v>
      </c>
      <c r="M26" s="221">
        <f>'конкурсная документация'!M44/(1-'конкурсные предложения'!L11)*'конкурсная документация'!M30</f>
        <v>104.75524475524475</v>
      </c>
      <c r="N26" s="221">
        <f>'конкурсная документация'!N44/(1-'конкурсные предложения'!M11)*'конкурсная документация'!N30</f>
        <v>104.17246175243395</v>
      </c>
      <c r="O26" s="221">
        <f>'конкурсная документация'!O44/(1-'конкурсные предложения'!N11)*'конкурсная документация'!O30</f>
        <v>103.59612724757955</v>
      </c>
      <c r="P26" s="221">
        <f>'конкурсная документация'!P44/(1-'конкурсные предложения'!O11)*'конкурсная документация'!P30</f>
        <v>103.02613480055021</v>
      </c>
      <c r="Q26" s="221">
        <f>'конкурсная документация'!Q44/(1-'конкурсные предложения'!P11)*'конкурсная документация'!Q30</f>
        <v>102.4623803009576</v>
      </c>
      <c r="R26" s="221">
        <f>'конкурсная документация'!R44/(1-'конкурсные предложения'!Q11)*'конкурсная документация'!R30</f>
        <v>101.90476190476191</v>
      </c>
      <c r="S26" s="221">
        <f>'конкурсная документация'!S44/(1-'конкурсные предложения'!R11)*'конкурсная документация'!S30</f>
        <v>101.3531799729364</v>
      </c>
      <c r="T26" s="221">
        <f>'конкурсная документация'!T44/(1-'конкурсные предложения'!S11)*'конкурсная документация'!T30</f>
        <v>100.80753701211306</v>
      </c>
      <c r="U26" s="221">
        <f>'конкурсная документация'!U44/(1-'конкурсные предложения'!T11)*'конкурсная документация'!U30</f>
        <v>100.26773761713521</v>
      </c>
      <c r="V26" s="221">
        <f>'конкурсная документация'!V44/(1-'конкурсные предложения'!U11)*'конкурсная документация'!V30</f>
        <v>99.73368841544608</v>
      </c>
      <c r="W26" s="221">
        <f>'конкурсная документация'!W44/(1-'конкурсные предложения'!V11)*'конкурсная документация'!W30</f>
        <v>99.20529801324504</v>
      </c>
      <c r="X26" s="221">
        <f>'конкурсная документация'!X44/(1-'конкурсные предложения'!W11)*'конкурсная документация'!X30</f>
        <v>98.68247694334651</v>
      </c>
      <c r="Y26" s="221">
        <f>'конкурсная документация'!Y44/(1-'конкурсные предложения'!X11)*'конкурсная документация'!Y30</f>
        <v>98.16513761467891</v>
      </c>
      <c r="Z26" s="221">
        <f>'конкурсная документация'!Z44/(1-'конкурсные предложения'!Y11)*'конкурсная документация'!Z30</f>
        <v>97.65319426336376</v>
      </c>
      <c r="AA26" s="221">
        <f>'конкурсная документация'!AA44/(1-'конкурсные предложения'!Z11)*'конкурсная документация'!AA30</f>
        <v>97.14656290531778</v>
      </c>
      <c r="AB26" s="221">
        <f>'конкурсная документация'!AB44/(1-'конкурсные предложения'!AA11)*'конкурсная документация'!AB30</f>
        <v>96.89521345407503</v>
      </c>
      <c r="AC26" s="221">
        <f>'конкурсная документация'!AC44/(1-'конкурсные предложения'!AB11)*'конкурсная документация'!AC30</f>
        <v>96.64516129032259</v>
      </c>
      <c r="AD26" s="221">
        <f>'конкурсная документация'!AD44/(1-'конкурсные предложения'!AC11)*'конкурсная документация'!AD30</f>
        <v>96.3963963963964</v>
      </c>
      <c r="AE26" s="221">
        <f>'конкурсная документация'!AE44/(1-'конкурсные предложения'!AD11)*'конкурсная документация'!AE30</f>
        <v>96.14890885750964</v>
      </c>
      <c r="AF26" s="221">
        <f>'конкурсная документация'!AF44/(1-'конкурсные предложения'!AE11)*'конкурсная документация'!AF30</f>
        <v>96.02564102564104</v>
      </c>
    </row>
    <row r="27" spans="1:32" s="170" customFormat="1" ht="15">
      <c r="A27" s="217" t="s">
        <v>22</v>
      </c>
      <c r="B27" s="218"/>
      <c r="C27" s="206">
        <f>'конкурсная документация'!$B$14*C9</f>
        <v>14.3</v>
      </c>
      <c r="D27" s="206">
        <f>'конкурсная документация'!$B$14*D9</f>
        <v>15.730000000000002</v>
      </c>
      <c r="E27" s="206">
        <f>'конкурсная документация'!$B$14*E9</f>
        <v>16.831100000000003</v>
      </c>
      <c r="F27" s="206">
        <f>'конкурсная документация'!$B$14*F9</f>
        <v>17.840966</v>
      </c>
      <c r="G27" s="206">
        <f>'конкурсная документация'!$B$14*G9</f>
        <v>18.911423960000004</v>
      </c>
      <c r="H27" s="206">
        <f>'конкурсная документация'!$B$14*H9</f>
        <v>20.046109397600006</v>
      </c>
      <c r="I27" s="206">
        <f>'конкурсная документация'!$B$14*I9</f>
        <v>21.248875961456008</v>
      </c>
      <c r="J27" s="206">
        <f>'конкурсная документация'!$B$14*J9</f>
        <v>22.52380851914337</v>
      </c>
      <c r="K27" s="206">
        <f>'конкурсная документация'!$B$14*K9</f>
        <v>23.87523703029197</v>
      </c>
      <c r="L27" s="206">
        <f>'конкурсная документация'!$B$14*L9</f>
        <v>25.30775125210949</v>
      </c>
      <c r="M27" s="206">
        <f>'конкурсная документация'!$B$14*M9</f>
        <v>26.82621632723606</v>
      </c>
      <c r="N27" s="206">
        <f>'конкурсная документация'!$B$14*N9</f>
        <v>28.435789306870227</v>
      </c>
      <c r="O27" s="206">
        <f>'конкурсная документация'!$B$14*O9</f>
        <v>30.14193666528244</v>
      </c>
      <c r="P27" s="206">
        <f>'конкурсная документация'!$B$14*P9</f>
        <v>31.950452865199388</v>
      </c>
      <c r="Q27" s="206">
        <f>'конкурсная документация'!$B$14*Q9</f>
        <v>33.867480037111356</v>
      </c>
      <c r="R27" s="206">
        <f>'конкурсная документация'!$B$14*R9</f>
        <v>35.89952883933804</v>
      </c>
      <c r="S27" s="206">
        <f>'конкурсная документация'!$B$14*S9</f>
        <v>38.05350056969832</v>
      </c>
      <c r="T27" s="206">
        <f>'конкурсная документация'!$B$14*T9</f>
        <v>40.33671060388022</v>
      </c>
      <c r="U27" s="206">
        <f>'конкурсная документация'!$B$14*U9</f>
        <v>42.756913240113036</v>
      </c>
      <c r="V27" s="206">
        <f>'конкурсная документация'!$B$14*V9</f>
        <v>45.32232803451981</v>
      </c>
      <c r="W27" s="206">
        <f>'конкурсная документация'!$B$14*W9</f>
        <v>48.04166771659101</v>
      </c>
      <c r="X27" s="206">
        <f>'конкурсная документация'!$B$14*X9</f>
        <v>50.92416777958647</v>
      </c>
      <c r="Y27" s="206">
        <f>'конкурсная документация'!$B$14*Y9</f>
        <v>53.97961784636166</v>
      </c>
      <c r="Z27" s="206">
        <f>'конкурсная документация'!$B$14*Z9</f>
        <v>57.21839491714337</v>
      </c>
      <c r="AA27" s="206">
        <f>'конкурсная документация'!$B$14*AA9</f>
        <v>60.65149861217198</v>
      </c>
      <c r="AB27" s="206">
        <f>'конкурсная документация'!$B$14*AB9</f>
        <v>64.2905885289023</v>
      </c>
      <c r="AC27" s="206">
        <f>'конкурсная документация'!$B$14*AC9</f>
        <v>68.14802384063644</v>
      </c>
      <c r="AD27" s="206">
        <f>'конкурсная документация'!$B$14*AD9</f>
        <v>72.23690527107462</v>
      </c>
      <c r="AE27" s="206">
        <f>'конкурсная документация'!$B$14*AE9</f>
        <v>76.5711195873391</v>
      </c>
      <c r="AF27" s="206">
        <f>'конкурсная документация'!$B$14*AF9</f>
        <v>81.16538676257946</v>
      </c>
    </row>
    <row r="28" spans="1:32" s="16" customFormat="1" ht="15">
      <c r="A28" s="99" t="s">
        <v>9</v>
      </c>
      <c r="B28" s="216"/>
      <c r="C28" s="195">
        <f>SUM(C29:C33)</f>
        <v>765.0502619893017</v>
      </c>
      <c r="D28" s="195">
        <f aca="true" t="shared" si="4" ref="D28:AF28">SUM(D29:D33)</f>
        <v>802.0892838171876</v>
      </c>
      <c r="E28" s="195">
        <f t="shared" si="4"/>
        <v>831.8706406328623</v>
      </c>
      <c r="F28" s="195">
        <f t="shared" si="4"/>
        <v>859.1465852485121</v>
      </c>
      <c r="G28" s="195">
        <f t="shared" si="4"/>
        <v>887.4926682101966</v>
      </c>
      <c r="H28" s="195">
        <f t="shared" si="4"/>
        <v>918.1419172070937</v>
      </c>
      <c r="I28" s="195">
        <f t="shared" si="4"/>
        <v>951.137075717308</v>
      </c>
      <c r="J28" s="195">
        <f t="shared" si="4"/>
        <v>982.5900498899681</v>
      </c>
      <c r="K28" s="195">
        <f t="shared" si="4"/>
        <v>1012.2405896610819</v>
      </c>
      <c r="L28" s="195">
        <f t="shared" si="4"/>
        <v>1043.4475123388368</v>
      </c>
      <c r="M28" s="195">
        <f t="shared" si="4"/>
        <v>1076.8858045979441</v>
      </c>
      <c r="N28" s="195">
        <f t="shared" si="4"/>
        <v>1176.7485847418363</v>
      </c>
      <c r="O28" s="195">
        <f t="shared" si="4"/>
        <v>1255.8804473167104</v>
      </c>
      <c r="P28" s="195">
        <f t="shared" si="4"/>
        <v>1308.895744595683</v>
      </c>
      <c r="Q28" s="195">
        <f t="shared" si="4"/>
        <v>1362.4246551340852</v>
      </c>
      <c r="R28" s="195">
        <f t="shared" si="4"/>
        <v>1412.903742006683</v>
      </c>
      <c r="S28" s="195">
        <f t="shared" si="4"/>
        <v>1465.7285161148588</v>
      </c>
      <c r="T28" s="195">
        <f t="shared" si="4"/>
        <v>1524.9555612474146</v>
      </c>
      <c r="U28" s="195">
        <f t="shared" si="4"/>
        <v>1594.7475270386165</v>
      </c>
      <c r="V28" s="195">
        <f t="shared" si="4"/>
        <v>1667.901918342009</v>
      </c>
      <c r="W28" s="195">
        <f t="shared" si="4"/>
        <v>1744.7437268926667</v>
      </c>
      <c r="X28" s="195">
        <f t="shared" si="4"/>
        <v>1825.501725319464</v>
      </c>
      <c r="Y28" s="195">
        <f t="shared" si="4"/>
        <v>1911.733495432431</v>
      </c>
      <c r="Z28" s="195">
        <f t="shared" si="4"/>
        <v>2002.515842169356</v>
      </c>
      <c r="AA28" s="195">
        <f t="shared" si="4"/>
        <v>2118.9021199666063</v>
      </c>
      <c r="AB28" s="195">
        <f t="shared" si="4"/>
        <v>2245.870892713091</v>
      </c>
      <c r="AC28" s="195">
        <f t="shared" si="4"/>
        <v>2359.121655973292</v>
      </c>
      <c r="AD28" s="195">
        <f t="shared" si="4"/>
        <v>2478.2228235861708</v>
      </c>
      <c r="AE28" s="195">
        <f t="shared" si="4"/>
        <v>2629.9570435383703</v>
      </c>
      <c r="AF28" s="195">
        <f t="shared" si="4"/>
        <v>2767.069846985781</v>
      </c>
    </row>
    <row r="29" spans="1:32" s="170" customFormat="1" ht="16.5" customHeight="1">
      <c r="A29" s="248" t="s">
        <v>20</v>
      </c>
      <c r="B29" s="218"/>
      <c r="C29" s="206">
        <f>'конкурсная документация'!C32*C12</f>
        <v>0</v>
      </c>
      <c r="D29" s="206">
        <f>'конкурсная документация'!D32*D12</f>
        <v>0</v>
      </c>
      <c r="E29" s="206">
        <f>'конкурсная документация'!E32*E12</f>
        <v>0</v>
      </c>
      <c r="F29" s="206">
        <f>'конкурсная документация'!F32*F12</f>
        <v>0</v>
      </c>
      <c r="G29" s="206">
        <f>'конкурсная документация'!G32*G12</f>
        <v>0</v>
      </c>
      <c r="H29" s="206">
        <f>'конкурсная документация'!H32*H12</f>
        <v>0</v>
      </c>
      <c r="I29" s="206">
        <f>'конкурсная документация'!I32*I12</f>
        <v>0</v>
      </c>
      <c r="J29" s="206">
        <f>'конкурсная документация'!J32*J12</f>
        <v>0</v>
      </c>
      <c r="K29" s="206">
        <f>'конкурсная документация'!K32*K12</f>
        <v>0</v>
      </c>
      <c r="L29" s="206">
        <f>'конкурсная документация'!L32*L12</f>
        <v>0</v>
      </c>
      <c r="M29" s="206">
        <f>'конкурсная документация'!M32*M12</f>
        <v>0</v>
      </c>
      <c r="N29" s="206">
        <f>'конкурсная документация'!N32*N12</f>
        <v>0</v>
      </c>
      <c r="O29" s="206">
        <f>'конкурсная документация'!O32*O12</f>
        <v>0</v>
      </c>
      <c r="P29" s="206">
        <f>'конкурсная документация'!P32*P12</f>
        <v>0</v>
      </c>
      <c r="Q29" s="206">
        <f>'конкурсная документация'!Q32*Q12</f>
        <v>0</v>
      </c>
      <c r="R29" s="206">
        <f>'конкурсная документация'!R32*R12</f>
        <v>0</v>
      </c>
      <c r="S29" s="206">
        <f>'конкурсная документация'!S32*S12</f>
        <v>0</v>
      </c>
      <c r="T29" s="206">
        <f>'конкурсная документация'!T32*T12</f>
        <v>0</v>
      </c>
      <c r="U29" s="206">
        <f>'конкурсная документация'!U32*U12</f>
        <v>0</v>
      </c>
      <c r="V29" s="206">
        <f>'конкурсная документация'!V32*V12</f>
        <v>0</v>
      </c>
      <c r="W29" s="206">
        <f>'конкурсная документация'!W32*W12</f>
        <v>0</v>
      </c>
      <c r="X29" s="206">
        <f>'конкурсная документация'!X32*X12</f>
        <v>0</v>
      </c>
      <c r="Y29" s="206">
        <f>'конкурсная документация'!Y32*Y12</f>
        <v>0</v>
      </c>
      <c r="Z29" s="206">
        <f>'конкурсная документация'!Z32*Z12</f>
        <v>0</v>
      </c>
      <c r="AA29" s="206">
        <f>'конкурсная документация'!AA32*AA12</f>
        <v>0</v>
      </c>
      <c r="AB29" s="206">
        <f>'конкурсная документация'!AB32*AB12</f>
        <v>0</v>
      </c>
      <c r="AC29" s="206">
        <f>'конкурсная документация'!AC32*AC12</f>
        <v>0</v>
      </c>
      <c r="AD29" s="206">
        <f>'конкурсная документация'!AD32*AD12</f>
        <v>0</v>
      </c>
      <c r="AE29" s="206">
        <f>'конкурсная документация'!AE32*AE12</f>
        <v>0</v>
      </c>
      <c r="AF29" s="206">
        <f>'конкурсная документация'!AF32*AF12</f>
        <v>0</v>
      </c>
    </row>
    <row r="30" spans="1:32" s="16" customFormat="1" ht="15">
      <c r="A30" s="207" t="s">
        <v>10</v>
      </c>
      <c r="B30" s="191"/>
      <c r="C30" s="220">
        <f>(C14+C15)*'конкурсная документация'!$B$10/(1-'конкурсная документация'!$B$10)</f>
        <v>16.175261989301756</v>
      </c>
      <c r="D30" s="220">
        <f>(D14+D15)*'конкурсная документация'!$B$10/(1-'конкурсная документация'!$B$10)</f>
        <v>20.21456732972081</v>
      </c>
      <c r="E30" s="220">
        <f>(E14+E15)*'конкурсная документация'!$B$10/(1-'конкурсная документация'!$B$10)</f>
        <v>22.682298633622228</v>
      </c>
      <c r="F30" s="220">
        <f>(F14+F15)*'конкурсная документация'!$B$10/(1-'конкурсная документация'!$B$10)</f>
        <v>20.385747890909077</v>
      </c>
      <c r="G30" s="220">
        <f>(G14+G15)*'конкурсная документация'!$B$10/(1-'конкурсная документация'!$B$10)</f>
        <v>22.58412216184271</v>
      </c>
      <c r="H30" s="220">
        <f>(H14+H15)*'конкурсная документация'!$B$10/(1-'конкурсная документация'!$B$10)</f>
        <v>28.464872464718738</v>
      </c>
      <c r="I30" s="220">
        <f>(I14+I15)*'конкурсная документация'!$B$10/(1-'конкурсная документация'!$B$10)</f>
        <v>34.976759259698845</v>
      </c>
      <c r="J30" s="220">
        <f>(J14+J15)*'конкурсная документация'!$B$10/(1-'конкурсная документация'!$B$10)</f>
        <v>38.11022112300296</v>
      </c>
      <c r="K30" s="220">
        <f>(K14+K15)*'конкурсная документация'!$B$10/(1-'конкурсная документация'!$B$10)</f>
        <v>37.47590787681158</v>
      </c>
      <c r="L30" s="220">
        <f>(L14+L15)*'конкурсная документация'!$B$10/(1-'конкурсная документация'!$B$10)</f>
        <v>36.29441196955569</v>
      </c>
      <c r="M30" s="220">
        <f>(M14+M15)*'конкурсная документация'!$B$10/(1-'конкурсная документация'!$B$10)</f>
        <v>35.07895610096393</v>
      </c>
      <c r="N30" s="220">
        <f>(N14+N15)*'конкурсная документация'!$B$10/(1-'конкурсная документация'!$B$10)</f>
        <v>94.00442706694766</v>
      </c>
      <c r="O30" s="220">
        <f>(O14+O15)*'конкурсная документация'!$B$10/(1-'конкурсная документация'!$B$10)</f>
        <v>123.63948010163698</v>
      </c>
      <c r="P30" s="220">
        <f>(P14+P15)*'конкурсная документация'!$B$10/(1-'конкурсная документация'!$B$10)</f>
        <v>122.32453114288731</v>
      </c>
      <c r="Q30" s="220">
        <f>(Q14+Q15)*'конкурсная документация'!$B$10/(1-'конкурсная документация'!$B$10)</f>
        <v>118.63664090837347</v>
      </c>
      <c r="R30" s="220">
        <f>(R14+R15)*'конкурсная документация'!$B$10/(1-'конкурсная документация'!$B$10)</f>
        <v>108.79717706297065</v>
      </c>
      <c r="S30" s="220">
        <f>(S14+S15)*'конкурсная документация'!$B$10/(1-'конкурсная документация'!$B$10)</f>
        <v>97.98778382680304</v>
      </c>
      <c r="T30" s="220">
        <f>(T14+T15)*'конкурсная документация'!$B$10/(1-'конкурсная документация'!$B$10)</f>
        <v>90.03735467878165</v>
      </c>
      <c r="U30" s="220">
        <f>(U14+U15)*'конкурсная документация'!$B$10/(1-'конкурсная документация'!$B$10)</f>
        <v>88.86558955833786</v>
      </c>
      <c r="V30" s="220">
        <f>(V14+V15)*'конкурсная документация'!$B$10/(1-'конкурсная документация'!$B$10)</f>
        <v>87.00650722046483</v>
      </c>
      <c r="W30" s="220">
        <f>(W14+W15)*'конкурсная документация'!$B$10/(1-'конкурсная документация'!$B$10)</f>
        <v>84.50844740988491</v>
      </c>
      <c r="X30" s="220">
        <f>(X14+X15)*'конкурсная документация'!$B$10/(1-'конкурсная документация'!$B$10)</f>
        <v>81.3043934696277</v>
      </c>
      <c r="Y30" s="220">
        <f>(Y14+Y15)*'конкурсная документация'!$B$10/(1-'конкурсная документация'!$B$10)</f>
        <v>78.63235810996139</v>
      </c>
      <c r="Z30" s="220">
        <f>(Z14+Z15)*'конкурсная документация'!$B$10/(1-'конкурсная документация'!$B$10)</f>
        <v>75.22922659162344</v>
      </c>
      <c r="AA30" s="220">
        <f>(AA14+AA15)*'конкурсная документация'!$B$10/(1-'конкурсная документация'!$B$10)</f>
        <v>90.36504395661443</v>
      </c>
      <c r="AB30" s="220">
        <f>(AB14+AB15)*'конкурсная документация'!$B$10/(1-'конкурсная документация'!$B$10)</f>
        <v>107.16842977173727</v>
      </c>
      <c r="AC30" s="220">
        <f>(AC14+AC15)*'конкурсная документация'!$B$10/(1-'конкурсная документация'!$B$10)</f>
        <v>102.31848206524191</v>
      </c>
      <c r="AD30" s="220">
        <f>(AD14+AD15)*'конкурсная документация'!$B$10/(1-'конкурсная документация'!$B$10)</f>
        <v>96.37495294987521</v>
      </c>
      <c r="AE30" s="220">
        <f>(AE14+AE15)*'конкурсная документация'!$B$10/(1-'конкурсная документация'!$B$10)</f>
        <v>113.97437673194598</v>
      </c>
      <c r="AF30" s="220">
        <f>(AF14+AF15)*'конкурсная документация'!$B$10/(1-'конкурсная документация'!$B$10)</f>
        <v>107.13691835187153</v>
      </c>
    </row>
    <row r="31" spans="1:32" s="170" customFormat="1" ht="15">
      <c r="A31" s="248" t="s">
        <v>215</v>
      </c>
      <c r="B31" s="221"/>
      <c r="C31" s="221">
        <f>'конкурсная документация'!C34+(C37+D37)*'конкурсная документация'!$B$9/2</f>
        <v>503.025</v>
      </c>
      <c r="D31" s="221">
        <f>'конкурсная документация'!D34+(D37+E37)*'конкурсная документация'!$B$9/2</f>
        <v>511.4397164874667</v>
      </c>
      <c r="E31" s="221">
        <f>'конкурсная документация'!E34+(E37+F37)*'конкурсная документация'!$B$9/2</f>
        <v>522.52724199924</v>
      </c>
      <c r="F31" s="221">
        <f>'конкурсная документация'!F34+(F37+G37)*'конкурсная документация'!$B$9/2</f>
        <v>532.033460357603</v>
      </c>
      <c r="G31" s="221">
        <f>'конкурсная документация'!G34+(G37+H37)*'конкурсная документация'!$B$9/2</f>
        <v>536.7102526583539</v>
      </c>
      <c r="H31" s="221">
        <f>'конкурсная документация'!H34+(H37+I37)*'конкурсная документация'!$B$9/2</f>
        <v>538.5048708150749</v>
      </c>
      <c r="I31" s="221">
        <f>'конкурсная документация'!I34+(I37+J37)*'конкурсная документация'!$B$9/2</f>
        <v>540.406090355398</v>
      </c>
      <c r="J31" s="221">
        <f>'конкурсная документация'!J34+(J37+K37)*'конкурсная документация'!$B$9/2</f>
        <v>542.4228068375992</v>
      </c>
      <c r="K31" s="221">
        <f>'конкурсная документация'!K34+(K37+L37)*'конкурсная документация'!$B$9/2</f>
        <v>544.5636683198487</v>
      </c>
      <c r="L31" s="221">
        <f>'конкурсная документация'!L34+(L37+M37)*'конкурсная документация'!$B$9/2</f>
        <v>546.8380159623499</v>
      </c>
      <c r="M31" s="221">
        <f>'конкурсная документация'!M34+(M37+N37)*'конкурсная документация'!$B$9/2</f>
        <v>549.2697081815639</v>
      </c>
      <c r="N31" s="221">
        <f>'конкурсная документация'!N34+(N37+O37)*'конкурсная документация'!$B$9/2</f>
        <v>555.7294175373931</v>
      </c>
      <c r="O31" s="221">
        <f>'конкурсная документация'!O34+(O37+P37)*'конкурсная документация'!$B$9/2</f>
        <v>568.3351952679532</v>
      </c>
      <c r="P31" s="221">
        <f>'конкурсная документация'!P34+(P37+Q37)*'конкурсная документация'!$B$9/2</f>
        <v>583.1920374693769</v>
      </c>
      <c r="Q31" s="221">
        <f>'конкурсная документация'!Q34+(Q37+R37)*'конкурсная документация'!$B$9/2</f>
        <v>598.1722959234537</v>
      </c>
      <c r="R31" s="221">
        <f>'конкурсная документация'!R34+(R37+S37)*'конкурсная документация'!$B$9/2</f>
        <v>613.2977463602964</v>
      </c>
      <c r="S31" s="221">
        <f>'конкурсная документация'!S34+(S37+T37)*'конкурсная документация'!$B$9/2</f>
        <v>628.5752964038006</v>
      </c>
      <c r="T31" s="221">
        <f>'конкурсная документация'!T34+(T37+U37)*'конкурсная документация'!$B$9/2</f>
        <v>644.0111901724798</v>
      </c>
      <c r="U31" s="221">
        <f>'конкурсная документация'!U34+(U37+V37)*'конкурсная документация'!$B$9/2</f>
        <v>659.6114299363948</v>
      </c>
      <c r="V31" s="221">
        <f>'конкурсная документация'!V34+(V37+W37)*'конкурсная документация'!$B$9/2</f>
        <v>675.3859680495883</v>
      </c>
      <c r="W31" s="221">
        <f>'конкурсная документация'!W34+(W37+X37)*'конкурсная документация'!$B$9/2</f>
        <v>691.3401753957892</v>
      </c>
      <c r="X31" s="221">
        <f>'конкурсная документация'!X34+(X37+Y37)*'конкурсная документация'!$B$9/2</f>
        <v>707.4795704767539</v>
      </c>
      <c r="Y31" s="221">
        <f>'конкурсная документация'!Y34+(Y37+Z37)*'конкурсная документация'!$B$9/2</f>
        <v>723.8131326532717</v>
      </c>
      <c r="Z31" s="221">
        <f>'конкурсная документация'!Z34+(Z37+AA37)*'конкурсная документация'!$B$9/2</f>
        <v>740.3484505816904</v>
      </c>
      <c r="AA31" s="221">
        <f>'конкурсная документация'!AA34+(AA37+AB37)*'конкурсная документация'!$B$9/2</f>
        <v>758.5132394642267</v>
      </c>
      <c r="AB31" s="221">
        <f>'конкурсная документация'!AB34+(AB37+AC37)*'конкурсная документация'!$B$9/2</f>
        <v>779.7769578373848</v>
      </c>
      <c r="AC31" s="221">
        <f>'конкурсная документация'!AC34+(AC37+AD37)*'конкурсная документация'!$B$9/2</f>
        <v>802.7528834468037</v>
      </c>
      <c r="AD31" s="221">
        <f>'конкурсная документация'!AD34+(AD37+AE37)*'конкурсная документация'!$B$9/2</f>
        <v>826.0140598427614</v>
      </c>
      <c r="AE31" s="221">
        <f>'конкурсная документация'!AE34+(AE37+AF37)*'конкурсная документация'!$B$9/2</f>
        <v>851.2404892573429</v>
      </c>
      <c r="AF31" s="221">
        <f>'конкурсная документация'!AF34+(AF37+AG37)*'конкурсная документация'!$B$9/2</f>
        <v>878.6587986563925</v>
      </c>
    </row>
    <row r="32" spans="1:32" s="170" customFormat="1" ht="30">
      <c r="A32" s="249" t="s">
        <v>169</v>
      </c>
      <c r="B32" s="218"/>
      <c r="C32" s="206">
        <f>'конкурсная документация'!C33*C12</f>
        <v>0</v>
      </c>
      <c r="D32" s="206">
        <f>'конкурсная документация'!D33*D12</f>
        <v>0</v>
      </c>
      <c r="E32" s="206">
        <f>'конкурсная документация'!E33*E12</f>
        <v>0</v>
      </c>
      <c r="F32" s="206">
        <f>'конкурсная документация'!F33*F12</f>
        <v>0</v>
      </c>
      <c r="G32" s="206">
        <f>'конкурсная документация'!G33*G12</f>
        <v>0</v>
      </c>
      <c r="H32" s="206">
        <f>'конкурсная документация'!H33*H12</f>
        <v>0</v>
      </c>
      <c r="I32" s="206">
        <f>'конкурсная документация'!I33*I12</f>
        <v>0</v>
      </c>
      <c r="J32" s="206">
        <f>'конкурсная документация'!J33*J12</f>
        <v>0</v>
      </c>
      <c r="K32" s="206">
        <f>'конкурсная документация'!K33*K12</f>
        <v>0</v>
      </c>
      <c r="L32" s="206">
        <f>'конкурсная документация'!L33*L12</f>
        <v>0</v>
      </c>
      <c r="M32" s="206">
        <f>'конкурсная документация'!M33*M12</f>
        <v>0</v>
      </c>
      <c r="N32" s="206">
        <f>'конкурсная документация'!N33*N12</f>
        <v>0</v>
      </c>
      <c r="O32" s="206">
        <f>'конкурсная документация'!O33*O12</f>
        <v>0</v>
      </c>
      <c r="P32" s="206">
        <f>'конкурсная документация'!P33*P12</f>
        <v>0</v>
      </c>
      <c r="Q32" s="206">
        <f>'конкурсная документация'!Q33*Q12</f>
        <v>0</v>
      </c>
      <c r="R32" s="206">
        <f>'конкурсная документация'!R33*R12</f>
        <v>0</v>
      </c>
      <c r="S32" s="206">
        <f>'конкурсная документация'!S33*S12</f>
        <v>0</v>
      </c>
      <c r="T32" s="206">
        <f>'конкурсная документация'!T33*T12</f>
        <v>0</v>
      </c>
      <c r="U32" s="206">
        <f>'конкурсная документация'!U33*U12</f>
        <v>0</v>
      </c>
      <c r="V32" s="206">
        <f>'конкурсная документация'!V33*V12</f>
        <v>0</v>
      </c>
      <c r="W32" s="206">
        <f>'конкурсная документация'!W33*W12</f>
        <v>0</v>
      </c>
      <c r="X32" s="206">
        <f>'конкурсная документация'!X33*X12</f>
        <v>0</v>
      </c>
      <c r="Y32" s="206">
        <f>'конкурсная документация'!Y33*Y12</f>
        <v>0</v>
      </c>
      <c r="Z32" s="206">
        <f>'конкурсная документация'!Z33*Z12</f>
        <v>0</v>
      </c>
      <c r="AA32" s="206">
        <f>'конкурсная документация'!AA33*AA12</f>
        <v>0</v>
      </c>
      <c r="AB32" s="206">
        <f>'конкурсная документация'!AB33*AB12</f>
        <v>0</v>
      </c>
      <c r="AC32" s="206">
        <f>'конкурсная документация'!AC33*AC12</f>
        <v>0</v>
      </c>
      <c r="AD32" s="206">
        <f>'конкурсная документация'!AD33*AD12</f>
        <v>0</v>
      </c>
      <c r="AE32" s="206">
        <f>'конкурсная документация'!AE33*AE12</f>
        <v>0</v>
      </c>
      <c r="AF32" s="206">
        <f>'конкурсная документация'!AF33*AF12</f>
        <v>0</v>
      </c>
    </row>
    <row r="33" spans="1:32" s="170" customFormat="1" ht="15">
      <c r="A33" s="248" t="s">
        <v>18</v>
      </c>
      <c r="B33" s="231"/>
      <c r="C33" s="206">
        <f>'конкурсная документация'!C35*C12</f>
        <v>245.85000000000002</v>
      </c>
      <c r="D33" s="206">
        <f>'конкурсная документация'!D35*D12</f>
        <v>270.43500000000006</v>
      </c>
      <c r="E33" s="206">
        <f>'конкурсная документация'!E35*E12</f>
        <v>286.66110000000003</v>
      </c>
      <c r="F33" s="206">
        <f>'конкурсная документация'!F35*F12</f>
        <v>306.72737700000005</v>
      </c>
      <c r="G33" s="206">
        <f>'конкурсная документация'!G35*G12</f>
        <v>328.19829339000006</v>
      </c>
      <c r="H33" s="206">
        <f>'конкурсная документация'!H35*H12</f>
        <v>351.1721739273001</v>
      </c>
      <c r="I33" s="206">
        <f>'конкурсная документация'!I35*I12</f>
        <v>375.7542261022112</v>
      </c>
      <c r="J33" s="206">
        <f>'конкурсная документация'!J35*J12</f>
        <v>402.057021929366</v>
      </c>
      <c r="K33" s="206">
        <f>'конкурсная документация'!K35*K12</f>
        <v>430.2010134644216</v>
      </c>
      <c r="L33" s="206">
        <f>'конкурсная документация'!L35*L12</f>
        <v>460.31508440693113</v>
      </c>
      <c r="M33" s="206">
        <f>'конкурсная документация'!M35*M12</f>
        <v>492.5371403154163</v>
      </c>
      <c r="N33" s="206">
        <f>'конкурсная документация'!N35*N12</f>
        <v>527.0147401374956</v>
      </c>
      <c r="O33" s="206">
        <f>'конкурсная документация'!O35*O12</f>
        <v>563.9057719471202</v>
      </c>
      <c r="P33" s="206">
        <f>'конкурсная документация'!P35*P12</f>
        <v>603.3791759834187</v>
      </c>
      <c r="Q33" s="206">
        <f>'конкурсная документация'!Q35*Q12</f>
        <v>645.615718302258</v>
      </c>
      <c r="R33" s="206">
        <f>'конкурсная документация'!R35*R12</f>
        <v>690.808818583416</v>
      </c>
      <c r="S33" s="206">
        <f>'конкурсная документация'!S35*S12</f>
        <v>739.1654358842552</v>
      </c>
      <c r="T33" s="206">
        <f>'конкурсная документация'!T35*T12</f>
        <v>790.907016396153</v>
      </c>
      <c r="U33" s="206">
        <f>'конкурсная документация'!U35*U12</f>
        <v>846.2705075438838</v>
      </c>
      <c r="V33" s="206">
        <f>'конкурсная документация'!V35*V12</f>
        <v>905.5094430719557</v>
      </c>
      <c r="W33" s="206">
        <f>'конкурсная документация'!W35*W12</f>
        <v>968.8951040869927</v>
      </c>
      <c r="X33" s="206">
        <f>'конкурсная документация'!X35*X12</f>
        <v>1036.7177613730823</v>
      </c>
      <c r="Y33" s="206">
        <f>'конкурсная документация'!Y35*Y12</f>
        <v>1109.288004669198</v>
      </c>
      <c r="Z33" s="206">
        <f>'конкурсная документация'!Z35*Z12</f>
        <v>1186.9381649960421</v>
      </c>
      <c r="AA33" s="206">
        <f>'конкурсная документация'!AA35*AA12</f>
        <v>1270.023836545765</v>
      </c>
      <c r="AB33" s="206">
        <f>'конкурсная документация'!AB35*AB12</f>
        <v>1358.9255051039688</v>
      </c>
      <c r="AC33" s="206">
        <f>'конкурсная документация'!AC35*AC12</f>
        <v>1454.0502904612465</v>
      </c>
      <c r="AD33" s="206">
        <f>'конкурсная документация'!AD35*AD12</f>
        <v>1555.833810793534</v>
      </c>
      <c r="AE33" s="206">
        <f>'конкурсная документация'!AE35*AE12</f>
        <v>1664.7421775490814</v>
      </c>
      <c r="AF33" s="206">
        <f>'конкурсная документация'!AF35*AF12</f>
        <v>1781.274129977517</v>
      </c>
    </row>
    <row r="34" spans="1:32" s="16" customFormat="1" ht="60">
      <c r="A34" s="182" t="s">
        <v>219</v>
      </c>
      <c r="B34" s="180"/>
      <c r="C34" s="194">
        <f>'конкурсная документация'!C41</f>
        <v>50.4</v>
      </c>
      <c r="D34" s="194">
        <f>'конкурсная документация'!D41</f>
        <v>50.4</v>
      </c>
      <c r="E34" s="194">
        <f>'конкурсная документация'!E41</f>
        <v>50.4</v>
      </c>
      <c r="F34" s="194">
        <f>'конкурсная документация'!F41</f>
        <v>50.4</v>
      </c>
      <c r="G34" s="194">
        <f>'конкурсная документация'!G41</f>
        <v>50.4</v>
      </c>
      <c r="H34" s="194">
        <f>'конкурсная документация'!H41</f>
        <v>50.4</v>
      </c>
      <c r="I34" s="194">
        <f>'конкурсная документация'!I41</f>
        <v>50.4</v>
      </c>
      <c r="J34" s="194">
        <f>'конкурсная документация'!J41</f>
        <v>50.4</v>
      </c>
      <c r="K34" s="194">
        <f>'конкурсная документация'!K41</f>
        <v>50.4</v>
      </c>
      <c r="L34" s="194">
        <f>'конкурсная документация'!L41</f>
        <v>50.4</v>
      </c>
      <c r="M34" s="194">
        <f>'конкурсная документация'!M41</f>
        <v>50.4</v>
      </c>
      <c r="N34" s="194">
        <f>'конкурсная документация'!N41</f>
        <v>50.4</v>
      </c>
      <c r="O34" s="194">
        <f>'конкурсная документация'!O41</f>
        <v>50.4</v>
      </c>
      <c r="P34" s="194">
        <f>'конкурсная документация'!P41</f>
        <v>50.4</v>
      </c>
      <c r="Q34" s="194">
        <f>'конкурсная документация'!Q41</f>
        <v>50.4</v>
      </c>
      <c r="R34" s="194">
        <f>'конкурсная документация'!R41</f>
        <v>50.4</v>
      </c>
      <c r="S34" s="194">
        <f>'конкурсная документация'!S41</f>
        <v>50.4</v>
      </c>
      <c r="T34" s="194">
        <f>'конкурсная документация'!T41</f>
        <v>50.4</v>
      </c>
      <c r="U34" s="194">
        <f>'конкурсная документация'!U41</f>
        <v>50.4</v>
      </c>
      <c r="V34" s="194">
        <f>'конкурсная документация'!V41</f>
        <v>50.4</v>
      </c>
      <c r="W34" s="194">
        <f>'конкурсная документация'!W41</f>
        <v>50.4</v>
      </c>
      <c r="X34" s="194">
        <f>'конкурсная документация'!X41</f>
        <v>50.4</v>
      </c>
      <c r="Y34" s="194">
        <f>'конкурсная документация'!Y41</f>
        <v>50.4</v>
      </c>
      <c r="Z34" s="194">
        <f>'конкурсная документация'!Z41</f>
        <v>50.4</v>
      </c>
      <c r="AA34" s="194">
        <f>'конкурсная документация'!AA41</f>
        <v>50.4</v>
      </c>
      <c r="AB34" s="194">
        <f>'конкурсная документация'!AB41</f>
        <v>50.4</v>
      </c>
      <c r="AC34" s="194">
        <f>'конкурсная документация'!AC41</f>
        <v>50.4</v>
      </c>
      <c r="AD34" s="194">
        <f>'конкурсная документация'!AD41</f>
        <v>50.4</v>
      </c>
      <c r="AE34" s="194">
        <f>'конкурсная документация'!AE41</f>
        <v>50.4</v>
      </c>
      <c r="AF34" s="194">
        <f>'конкурсная документация'!AF41</f>
        <v>50.4</v>
      </c>
    </row>
    <row r="35" spans="1:32" s="16" customFormat="1" ht="60">
      <c r="A35" s="99" t="s">
        <v>220</v>
      </c>
      <c r="B35" s="193"/>
      <c r="C35" s="192">
        <f>'конкурсная документация'!B42</f>
        <v>30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200"/>
      <c r="Y35" s="200"/>
      <c r="Z35" s="200"/>
      <c r="AA35" s="200"/>
      <c r="AB35" s="200"/>
      <c r="AC35" s="200"/>
      <c r="AD35" s="200"/>
      <c r="AE35" s="200"/>
      <c r="AF35" s="200"/>
    </row>
    <row r="36" spans="1:32" s="170" customFormat="1" ht="18" customHeight="1">
      <c r="A36" s="182" t="s">
        <v>138</v>
      </c>
      <c r="B36" s="218"/>
      <c r="C36" s="240">
        <f>'конкурсные предложения'!B14*C8</f>
        <v>275</v>
      </c>
      <c r="D36" s="240">
        <f>'конкурсные предложения'!C14*D8</f>
        <v>499.14089280000013</v>
      </c>
      <c r="E36" s="240">
        <f>'конкурсные предложения'!D14*E8</f>
        <v>543.7873350000002</v>
      </c>
      <c r="F36" s="240">
        <f>'конкурсные предложения'!E14*F8</f>
        <v>390.1499712954219</v>
      </c>
      <c r="G36" s="240">
        <f>'конкурсные предложения'!F14*G8</f>
        <v>135.8798460329876</v>
      </c>
      <c r="H36" s="240">
        <f>'конкурсные предложения'!G14*H8</f>
        <v>145.66846726427096</v>
      </c>
      <c r="I36" s="240">
        <f>'конкурсные предложения'!H14*I8</f>
        <v>154.9558246824689</v>
      </c>
      <c r="J36" s="240">
        <f>'конкурсные предложения'!I14*J8</f>
        <v>166.18899898474768</v>
      </c>
      <c r="K36" s="240">
        <f>'конкурсные предложения'!J14*K8</f>
        <v>176.94656123334374</v>
      </c>
      <c r="L36" s="240">
        <f>'конкурсные предложения'!K14*L8</f>
        <v>189.76195646944944</v>
      </c>
      <c r="M36" s="240">
        <f>'конкурсные предложения'!L14*M8</f>
        <v>203.47423091853568</v>
      </c>
      <c r="N36" s="240">
        <f>'конкурсные предложения'!M14*N8</f>
        <v>569.0532054383141</v>
      </c>
      <c r="O36" s="240">
        <f>'конкурсные предложения'!N14*O8</f>
        <v>787.9586340756478</v>
      </c>
      <c r="P36" s="240">
        <f>'конкурсные предложения'!O14*P8</f>
        <v>818.9291580461</v>
      </c>
      <c r="Q36" s="240">
        <f>'конкурсные предложения'!P14*Q8</f>
        <v>852.7412198117831</v>
      </c>
      <c r="R36" s="240">
        <f>'конкурсные предложения'!Q14*R8</f>
        <v>887.8507751352516</v>
      </c>
      <c r="S36" s="240">
        <f>'конкурсные предложения'!R14*S8</f>
        <v>924.5881899459025</v>
      </c>
      <c r="T36" s="240">
        <f>'конкурсные предложения'!S14*T8</f>
        <v>962.6602914114413</v>
      </c>
      <c r="U36" s="240">
        <f>'конкурсные предложения'!T14*U8</f>
        <v>1002.4370176792461</v>
      </c>
      <c r="V36" s="240">
        <f>'конкурсные предложения'!U14*V8</f>
        <v>1044.00883952767</v>
      </c>
      <c r="W36" s="240">
        <f>'конкурсные предложения'!V14*W8</f>
        <v>1086.9854462231738</v>
      </c>
      <c r="X36" s="240">
        <f>'конкурсные предложения'!W14*X8</f>
        <v>1131.877231000923</v>
      </c>
      <c r="Y36" s="240">
        <f>'конкурсные предложения'!X14*Y8</f>
        <v>1178.5990896051826</v>
      </c>
      <c r="Z36" s="240">
        <f>'конкурсные предложения'!Y14*Z8</f>
        <v>1227.234540345424</v>
      </c>
      <c r="AA36" s="240">
        <f>'конкурсные предложения'!Z14*AA8</f>
        <v>1406.9272670384944</v>
      </c>
      <c r="AB36" s="240">
        <f>'конкурсные предложения'!AA14*AB8</f>
        <v>1596.7607967086806</v>
      </c>
      <c r="AC36" s="240">
        <f>'конкурсные предложения'!AB14*AC8</f>
        <v>1662.7054057931684</v>
      </c>
      <c r="AD36" s="240">
        <f>'конкурсные предложения'!AC14*AD8</f>
        <v>1731.341559810753</v>
      </c>
      <c r="AE36" s="240">
        <f>'конкурсные предложения'!AD14*AE8</f>
        <v>1954.4996699760627</v>
      </c>
      <c r="AF36" s="240">
        <f>'конкурсные предложения'!AE14*AF8</f>
        <v>2053.4647509068127</v>
      </c>
    </row>
    <row r="37" spans="1:33" s="170" customFormat="1" ht="60" customHeight="1">
      <c r="A37" s="182" t="s">
        <v>221</v>
      </c>
      <c r="B37" s="218"/>
      <c r="C37" s="240"/>
      <c r="D37" s="240">
        <f aca="true" t="shared" si="5" ref="D37:AG37">C37+C36-C67</f>
        <v>275</v>
      </c>
      <c r="E37" s="240">
        <f t="shared" si="5"/>
        <v>764.9742261333334</v>
      </c>
      <c r="F37" s="240">
        <f t="shared" si="5"/>
        <v>1282.956864706667</v>
      </c>
      <c r="G37" s="240">
        <f t="shared" si="5"/>
        <v>1629.1758950754222</v>
      </c>
      <c r="H37" s="240">
        <f t="shared" si="5"/>
        <v>1708.1198011385625</v>
      </c>
      <c r="I37" s="240">
        <f t="shared" si="5"/>
        <v>1792.3230002318865</v>
      </c>
      <c r="J37" s="240">
        <f t="shared" si="5"/>
        <v>1880.9579411679326</v>
      </c>
      <c r="K37" s="240">
        <f t="shared" si="5"/>
        <v>1975.6608622501753</v>
      </c>
      <c r="L37" s="240">
        <f t="shared" si="5"/>
        <v>2075.5817122815224</v>
      </c>
      <c r="M37" s="240">
        <f t="shared" si="5"/>
        <v>2182.419738841197</v>
      </c>
      <c r="N37" s="240">
        <f t="shared" si="5"/>
        <v>2296.6446413009767</v>
      </c>
      <c r="O37" s="240">
        <f t="shared" si="5"/>
        <v>2769.6660439165835</v>
      </c>
      <c r="P37" s="240">
        <f t="shared" si="5"/>
        <v>3442.6244349882463</v>
      </c>
      <c r="Q37" s="240">
        <f t="shared" si="5"/>
        <v>4120.288062227841</v>
      </c>
      <c r="R37" s="240">
        <f t="shared" si="5"/>
        <v>4804.466112631581</v>
      </c>
      <c r="S37" s="240">
        <f t="shared" si="5"/>
        <v>5495.329011031731</v>
      </c>
      <c r="T37" s="240">
        <f t="shared" si="5"/>
        <v>6193.334298404689</v>
      </c>
      <c r="U37" s="240">
        <f t="shared" si="5"/>
        <v>6898.592080911656</v>
      </c>
      <c r="V37" s="240">
        <f t="shared" si="5"/>
        <v>7611.537913306047</v>
      </c>
      <c r="W37" s="240">
        <f t="shared" si="5"/>
        <v>8332.641000292888</v>
      </c>
      <c r="X37" s="240">
        <f t="shared" si="5"/>
        <v>9061.92039932431</v>
      </c>
      <c r="Y37" s="240">
        <f t="shared" si="5"/>
        <v>9799.858734926042</v>
      </c>
      <c r="Z37" s="240">
        <f t="shared" si="5"/>
        <v>10546.789688098668</v>
      </c>
      <c r="AA37" s="240">
        <f t="shared" si="5"/>
        <v>11303.069455691362</v>
      </c>
      <c r="AB37" s="240">
        <f t="shared" si="5"/>
        <v>12198.134131965613</v>
      </c>
      <c r="AC37" s="240">
        <f t="shared" si="5"/>
        <v>13236.1347623421</v>
      </c>
      <c r="AD37" s="240">
        <f t="shared" si="5"/>
        <v>14286.854641912787</v>
      </c>
      <c r="AE37" s="240">
        <f t="shared" si="5"/>
        <v>15350.787161974618</v>
      </c>
      <c r="AF37" s="240">
        <f t="shared" si="5"/>
        <v>16580.166406874734</v>
      </c>
      <c r="AG37" s="164">
        <f t="shared" si="5"/>
        <v>17843.3607437064</v>
      </c>
    </row>
    <row r="38" spans="1:32" s="16" customFormat="1" ht="15">
      <c r="A38" s="247" t="s">
        <v>139</v>
      </c>
      <c r="B38" s="180"/>
      <c r="C38" s="180"/>
      <c r="D38" s="186">
        <f aca="true" t="shared" si="6" ref="D38:AF38">IF($C$36/$C$35*(D$5-$C$5)&gt;$C$36,0,$C$36/$C$35)</f>
        <v>9.166666666666666</v>
      </c>
      <c r="E38" s="186">
        <f t="shared" si="6"/>
        <v>9.166666666666666</v>
      </c>
      <c r="F38" s="186">
        <f t="shared" si="6"/>
        <v>9.166666666666666</v>
      </c>
      <c r="G38" s="186">
        <f t="shared" si="6"/>
        <v>9.166666666666666</v>
      </c>
      <c r="H38" s="186">
        <f t="shared" si="6"/>
        <v>9.166666666666666</v>
      </c>
      <c r="I38" s="186">
        <f t="shared" si="6"/>
        <v>9.166666666666666</v>
      </c>
      <c r="J38" s="186">
        <f t="shared" si="6"/>
        <v>9.166666666666666</v>
      </c>
      <c r="K38" s="186">
        <f t="shared" si="6"/>
        <v>9.166666666666666</v>
      </c>
      <c r="L38" s="186">
        <f t="shared" si="6"/>
        <v>9.166666666666666</v>
      </c>
      <c r="M38" s="186">
        <f t="shared" si="6"/>
        <v>9.166666666666666</v>
      </c>
      <c r="N38" s="186">
        <f t="shared" si="6"/>
        <v>9.166666666666666</v>
      </c>
      <c r="O38" s="186">
        <f t="shared" si="6"/>
        <v>9.166666666666666</v>
      </c>
      <c r="P38" s="186">
        <f t="shared" si="6"/>
        <v>9.166666666666666</v>
      </c>
      <c r="Q38" s="186">
        <f t="shared" si="6"/>
        <v>9.166666666666666</v>
      </c>
      <c r="R38" s="186">
        <f t="shared" si="6"/>
        <v>9.166666666666666</v>
      </c>
      <c r="S38" s="186">
        <f t="shared" si="6"/>
        <v>9.166666666666666</v>
      </c>
      <c r="T38" s="186">
        <f t="shared" si="6"/>
        <v>9.166666666666666</v>
      </c>
      <c r="U38" s="186">
        <f t="shared" si="6"/>
        <v>9.166666666666666</v>
      </c>
      <c r="V38" s="186">
        <f t="shared" si="6"/>
        <v>9.166666666666666</v>
      </c>
      <c r="W38" s="186">
        <f t="shared" si="6"/>
        <v>9.166666666666666</v>
      </c>
      <c r="X38" s="186">
        <f t="shared" si="6"/>
        <v>9.166666666666666</v>
      </c>
      <c r="Y38" s="186">
        <f t="shared" si="6"/>
        <v>9.166666666666666</v>
      </c>
      <c r="Z38" s="186">
        <f t="shared" si="6"/>
        <v>9.166666666666666</v>
      </c>
      <c r="AA38" s="186">
        <f t="shared" si="6"/>
        <v>9.166666666666666</v>
      </c>
      <c r="AB38" s="186">
        <f t="shared" si="6"/>
        <v>9.166666666666666</v>
      </c>
      <c r="AC38" s="186">
        <f t="shared" si="6"/>
        <v>9.166666666666666</v>
      </c>
      <c r="AD38" s="186">
        <f t="shared" si="6"/>
        <v>9.166666666666666</v>
      </c>
      <c r="AE38" s="186">
        <f t="shared" si="6"/>
        <v>9.166666666666666</v>
      </c>
      <c r="AF38" s="186">
        <f t="shared" si="6"/>
        <v>9.166666666666666</v>
      </c>
    </row>
    <row r="39" spans="1:32" s="16" customFormat="1" ht="15">
      <c r="A39" s="247" t="s">
        <v>140</v>
      </c>
      <c r="B39" s="180"/>
      <c r="C39" s="180"/>
      <c r="D39" s="188"/>
      <c r="E39" s="186">
        <f aca="true" t="shared" si="7" ref="E39:AF39">IF($D$36/$C$35*(E$5-$D$5)&gt;$D$36,0,$D$36/$C$35)</f>
        <v>16.638029760000006</v>
      </c>
      <c r="F39" s="186">
        <f t="shared" si="7"/>
        <v>16.638029760000006</v>
      </c>
      <c r="G39" s="186">
        <f t="shared" si="7"/>
        <v>16.638029760000006</v>
      </c>
      <c r="H39" s="186">
        <f t="shared" si="7"/>
        <v>16.638029760000006</v>
      </c>
      <c r="I39" s="186">
        <f t="shared" si="7"/>
        <v>16.638029760000006</v>
      </c>
      <c r="J39" s="186">
        <f t="shared" si="7"/>
        <v>16.638029760000006</v>
      </c>
      <c r="K39" s="186">
        <f t="shared" si="7"/>
        <v>16.638029760000006</v>
      </c>
      <c r="L39" s="186">
        <f t="shared" si="7"/>
        <v>16.638029760000006</v>
      </c>
      <c r="M39" s="186">
        <f t="shared" si="7"/>
        <v>16.638029760000006</v>
      </c>
      <c r="N39" s="186">
        <f t="shared" si="7"/>
        <v>16.638029760000006</v>
      </c>
      <c r="O39" s="186">
        <f t="shared" si="7"/>
        <v>16.638029760000006</v>
      </c>
      <c r="P39" s="186">
        <f t="shared" si="7"/>
        <v>16.638029760000006</v>
      </c>
      <c r="Q39" s="186">
        <f t="shared" si="7"/>
        <v>16.638029760000006</v>
      </c>
      <c r="R39" s="186">
        <f t="shared" si="7"/>
        <v>16.638029760000006</v>
      </c>
      <c r="S39" s="186">
        <f t="shared" si="7"/>
        <v>16.638029760000006</v>
      </c>
      <c r="T39" s="186">
        <f t="shared" si="7"/>
        <v>16.638029760000006</v>
      </c>
      <c r="U39" s="186">
        <f t="shared" si="7"/>
        <v>16.638029760000006</v>
      </c>
      <c r="V39" s="186">
        <f t="shared" si="7"/>
        <v>16.638029760000006</v>
      </c>
      <c r="W39" s="186">
        <f t="shared" si="7"/>
        <v>16.638029760000006</v>
      </c>
      <c r="X39" s="186">
        <f t="shared" si="7"/>
        <v>16.638029760000006</v>
      </c>
      <c r="Y39" s="186">
        <f t="shared" si="7"/>
        <v>16.638029760000006</v>
      </c>
      <c r="Z39" s="186">
        <f t="shared" si="7"/>
        <v>16.638029760000006</v>
      </c>
      <c r="AA39" s="186">
        <f t="shared" si="7"/>
        <v>16.638029760000006</v>
      </c>
      <c r="AB39" s="186">
        <f t="shared" si="7"/>
        <v>16.638029760000006</v>
      </c>
      <c r="AC39" s="186">
        <f t="shared" si="7"/>
        <v>16.638029760000006</v>
      </c>
      <c r="AD39" s="186">
        <f t="shared" si="7"/>
        <v>16.638029760000006</v>
      </c>
      <c r="AE39" s="186">
        <f t="shared" si="7"/>
        <v>16.638029760000006</v>
      </c>
      <c r="AF39" s="186">
        <f t="shared" si="7"/>
        <v>16.638029760000006</v>
      </c>
    </row>
    <row r="40" spans="1:32" s="16" customFormat="1" ht="15">
      <c r="A40" s="247" t="s">
        <v>141</v>
      </c>
      <c r="B40" s="180"/>
      <c r="C40" s="180"/>
      <c r="D40" s="186"/>
      <c r="E40" s="186"/>
      <c r="F40" s="186">
        <f aca="true" t="shared" si="8" ref="F40:AF40">IF($E$36/$C$35*(F$5-$E$5)&gt;$E$36,0,$E$36/$C$35)</f>
        <v>18.126244500000006</v>
      </c>
      <c r="G40" s="186">
        <f t="shared" si="8"/>
        <v>18.126244500000006</v>
      </c>
      <c r="H40" s="186">
        <f t="shared" si="8"/>
        <v>18.126244500000006</v>
      </c>
      <c r="I40" s="186">
        <f t="shared" si="8"/>
        <v>18.126244500000006</v>
      </c>
      <c r="J40" s="186">
        <f t="shared" si="8"/>
        <v>18.126244500000006</v>
      </c>
      <c r="K40" s="186">
        <f t="shared" si="8"/>
        <v>18.126244500000006</v>
      </c>
      <c r="L40" s="186">
        <f t="shared" si="8"/>
        <v>18.126244500000006</v>
      </c>
      <c r="M40" s="186">
        <f t="shared" si="8"/>
        <v>18.126244500000006</v>
      </c>
      <c r="N40" s="186">
        <f t="shared" si="8"/>
        <v>18.126244500000006</v>
      </c>
      <c r="O40" s="186">
        <f t="shared" si="8"/>
        <v>18.126244500000006</v>
      </c>
      <c r="P40" s="186">
        <f t="shared" si="8"/>
        <v>18.126244500000006</v>
      </c>
      <c r="Q40" s="186">
        <f t="shared" si="8"/>
        <v>18.126244500000006</v>
      </c>
      <c r="R40" s="186">
        <f t="shared" si="8"/>
        <v>18.126244500000006</v>
      </c>
      <c r="S40" s="186">
        <f t="shared" si="8"/>
        <v>18.126244500000006</v>
      </c>
      <c r="T40" s="186">
        <f t="shared" si="8"/>
        <v>18.126244500000006</v>
      </c>
      <c r="U40" s="186">
        <f t="shared" si="8"/>
        <v>18.126244500000006</v>
      </c>
      <c r="V40" s="186">
        <f t="shared" si="8"/>
        <v>18.126244500000006</v>
      </c>
      <c r="W40" s="186">
        <f t="shared" si="8"/>
        <v>18.126244500000006</v>
      </c>
      <c r="X40" s="186">
        <f t="shared" si="8"/>
        <v>18.126244500000006</v>
      </c>
      <c r="Y40" s="186">
        <f t="shared" si="8"/>
        <v>18.126244500000006</v>
      </c>
      <c r="Z40" s="186">
        <f t="shared" si="8"/>
        <v>18.126244500000006</v>
      </c>
      <c r="AA40" s="186">
        <f t="shared" si="8"/>
        <v>18.126244500000006</v>
      </c>
      <c r="AB40" s="186">
        <f t="shared" si="8"/>
        <v>18.126244500000006</v>
      </c>
      <c r="AC40" s="186">
        <f t="shared" si="8"/>
        <v>18.126244500000006</v>
      </c>
      <c r="AD40" s="186">
        <f t="shared" si="8"/>
        <v>18.126244500000006</v>
      </c>
      <c r="AE40" s="186">
        <f t="shared" si="8"/>
        <v>18.126244500000006</v>
      </c>
      <c r="AF40" s="186">
        <f t="shared" si="8"/>
        <v>18.126244500000006</v>
      </c>
    </row>
    <row r="41" spans="1:32" s="16" customFormat="1" ht="15">
      <c r="A41" s="247" t="s">
        <v>142</v>
      </c>
      <c r="B41" s="180"/>
      <c r="C41" s="180"/>
      <c r="D41" s="186"/>
      <c r="E41" s="186"/>
      <c r="F41" s="186"/>
      <c r="G41" s="186">
        <f aca="true" t="shared" si="9" ref="G41:AF41">IF($F$36/$C$35*(G$5-$F$5)&gt;$F$36,0,$F$36/$C$35)</f>
        <v>13.00499904318073</v>
      </c>
      <c r="H41" s="186">
        <f t="shared" si="9"/>
        <v>13.00499904318073</v>
      </c>
      <c r="I41" s="186">
        <f t="shared" si="9"/>
        <v>13.00499904318073</v>
      </c>
      <c r="J41" s="186">
        <f t="shared" si="9"/>
        <v>13.00499904318073</v>
      </c>
      <c r="K41" s="186">
        <f t="shared" si="9"/>
        <v>13.00499904318073</v>
      </c>
      <c r="L41" s="186">
        <f t="shared" si="9"/>
        <v>13.00499904318073</v>
      </c>
      <c r="M41" s="186">
        <f t="shared" si="9"/>
        <v>13.00499904318073</v>
      </c>
      <c r="N41" s="186">
        <f t="shared" si="9"/>
        <v>13.00499904318073</v>
      </c>
      <c r="O41" s="186">
        <f t="shared" si="9"/>
        <v>13.00499904318073</v>
      </c>
      <c r="P41" s="186">
        <f t="shared" si="9"/>
        <v>13.00499904318073</v>
      </c>
      <c r="Q41" s="186">
        <f t="shared" si="9"/>
        <v>13.00499904318073</v>
      </c>
      <c r="R41" s="186">
        <f t="shared" si="9"/>
        <v>13.00499904318073</v>
      </c>
      <c r="S41" s="186">
        <f t="shared" si="9"/>
        <v>13.00499904318073</v>
      </c>
      <c r="T41" s="186">
        <f t="shared" si="9"/>
        <v>13.00499904318073</v>
      </c>
      <c r="U41" s="186">
        <f t="shared" si="9"/>
        <v>13.00499904318073</v>
      </c>
      <c r="V41" s="186">
        <f t="shared" si="9"/>
        <v>13.00499904318073</v>
      </c>
      <c r="W41" s="186">
        <f t="shared" si="9"/>
        <v>13.00499904318073</v>
      </c>
      <c r="X41" s="186">
        <f t="shared" si="9"/>
        <v>13.00499904318073</v>
      </c>
      <c r="Y41" s="186">
        <f t="shared" si="9"/>
        <v>13.00499904318073</v>
      </c>
      <c r="Z41" s="186">
        <f t="shared" si="9"/>
        <v>13.00499904318073</v>
      </c>
      <c r="AA41" s="186">
        <f t="shared" si="9"/>
        <v>13.00499904318073</v>
      </c>
      <c r="AB41" s="186">
        <f t="shared" si="9"/>
        <v>13.00499904318073</v>
      </c>
      <c r="AC41" s="186">
        <f t="shared" si="9"/>
        <v>13.00499904318073</v>
      </c>
      <c r="AD41" s="186">
        <f t="shared" si="9"/>
        <v>13.00499904318073</v>
      </c>
      <c r="AE41" s="186">
        <f t="shared" si="9"/>
        <v>13.00499904318073</v>
      </c>
      <c r="AF41" s="186">
        <f t="shared" si="9"/>
        <v>13.00499904318073</v>
      </c>
    </row>
    <row r="42" spans="1:32" s="16" customFormat="1" ht="15">
      <c r="A42" s="247" t="s">
        <v>143</v>
      </c>
      <c r="B42" s="180"/>
      <c r="C42" s="180"/>
      <c r="D42" s="186"/>
      <c r="E42" s="186"/>
      <c r="F42" s="186"/>
      <c r="G42" s="186"/>
      <c r="H42" s="186">
        <f aca="true" t="shared" si="10" ref="H42:AF42">IF($G$36/$C$35*(H$5-$G$5)&gt;$G$36,0,$G$36/$C$35)</f>
        <v>4.529328201099586</v>
      </c>
      <c r="I42" s="186">
        <f t="shared" si="10"/>
        <v>4.529328201099586</v>
      </c>
      <c r="J42" s="186">
        <f t="shared" si="10"/>
        <v>4.529328201099586</v>
      </c>
      <c r="K42" s="186">
        <f t="shared" si="10"/>
        <v>4.529328201099586</v>
      </c>
      <c r="L42" s="186">
        <f t="shared" si="10"/>
        <v>4.529328201099586</v>
      </c>
      <c r="M42" s="186">
        <f t="shared" si="10"/>
        <v>4.529328201099586</v>
      </c>
      <c r="N42" s="186">
        <f t="shared" si="10"/>
        <v>4.529328201099586</v>
      </c>
      <c r="O42" s="186">
        <f t="shared" si="10"/>
        <v>4.529328201099586</v>
      </c>
      <c r="P42" s="186">
        <f t="shared" si="10"/>
        <v>4.529328201099586</v>
      </c>
      <c r="Q42" s="186">
        <f t="shared" si="10"/>
        <v>4.529328201099586</v>
      </c>
      <c r="R42" s="186">
        <f t="shared" si="10"/>
        <v>4.529328201099586</v>
      </c>
      <c r="S42" s="186">
        <f t="shared" si="10"/>
        <v>4.529328201099586</v>
      </c>
      <c r="T42" s="186">
        <f t="shared" si="10"/>
        <v>4.529328201099586</v>
      </c>
      <c r="U42" s="186">
        <f t="shared" si="10"/>
        <v>4.529328201099586</v>
      </c>
      <c r="V42" s="186">
        <f t="shared" si="10"/>
        <v>4.529328201099586</v>
      </c>
      <c r="W42" s="186">
        <f t="shared" si="10"/>
        <v>4.529328201099586</v>
      </c>
      <c r="X42" s="186">
        <f t="shared" si="10"/>
        <v>4.529328201099586</v>
      </c>
      <c r="Y42" s="186">
        <f t="shared" si="10"/>
        <v>4.529328201099586</v>
      </c>
      <c r="Z42" s="186">
        <f t="shared" si="10"/>
        <v>4.529328201099586</v>
      </c>
      <c r="AA42" s="186">
        <f t="shared" si="10"/>
        <v>4.529328201099586</v>
      </c>
      <c r="AB42" s="186">
        <f t="shared" si="10"/>
        <v>4.529328201099586</v>
      </c>
      <c r="AC42" s="186">
        <f t="shared" si="10"/>
        <v>4.529328201099586</v>
      </c>
      <c r="AD42" s="186">
        <f t="shared" si="10"/>
        <v>4.529328201099586</v>
      </c>
      <c r="AE42" s="186">
        <f t="shared" si="10"/>
        <v>4.529328201099586</v>
      </c>
      <c r="AF42" s="186">
        <f t="shared" si="10"/>
        <v>4.529328201099586</v>
      </c>
    </row>
    <row r="43" spans="1:32" s="16" customFormat="1" ht="15">
      <c r="A43" s="247" t="s">
        <v>144</v>
      </c>
      <c r="B43" s="180"/>
      <c r="C43" s="180"/>
      <c r="D43" s="186"/>
      <c r="E43" s="186"/>
      <c r="F43" s="186"/>
      <c r="G43" s="186"/>
      <c r="H43" s="186"/>
      <c r="I43" s="186">
        <f aca="true" t="shared" si="11" ref="I43:AF43">IF($H$36/$C$35*(I$5-$H$5)&gt;$H$36,0,$H$36/$C$35)</f>
        <v>4.855615575475698</v>
      </c>
      <c r="J43" s="186">
        <f t="shared" si="11"/>
        <v>4.855615575475698</v>
      </c>
      <c r="K43" s="186">
        <f t="shared" si="11"/>
        <v>4.855615575475698</v>
      </c>
      <c r="L43" s="186">
        <f t="shared" si="11"/>
        <v>4.855615575475698</v>
      </c>
      <c r="M43" s="186">
        <f t="shared" si="11"/>
        <v>4.855615575475698</v>
      </c>
      <c r="N43" s="186">
        <f t="shared" si="11"/>
        <v>4.855615575475698</v>
      </c>
      <c r="O43" s="186">
        <f t="shared" si="11"/>
        <v>4.855615575475698</v>
      </c>
      <c r="P43" s="186">
        <f t="shared" si="11"/>
        <v>4.855615575475698</v>
      </c>
      <c r="Q43" s="186">
        <f t="shared" si="11"/>
        <v>4.855615575475698</v>
      </c>
      <c r="R43" s="186">
        <f t="shared" si="11"/>
        <v>4.855615575475698</v>
      </c>
      <c r="S43" s="186">
        <f t="shared" si="11"/>
        <v>4.855615575475698</v>
      </c>
      <c r="T43" s="186">
        <f t="shared" si="11"/>
        <v>4.855615575475698</v>
      </c>
      <c r="U43" s="186">
        <f t="shared" si="11"/>
        <v>4.855615575475698</v>
      </c>
      <c r="V43" s="186">
        <f t="shared" si="11"/>
        <v>4.855615575475698</v>
      </c>
      <c r="W43" s="186">
        <f t="shared" si="11"/>
        <v>4.855615575475698</v>
      </c>
      <c r="X43" s="186">
        <f t="shared" si="11"/>
        <v>4.855615575475698</v>
      </c>
      <c r="Y43" s="186">
        <f t="shared" si="11"/>
        <v>4.855615575475698</v>
      </c>
      <c r="Z43" s="186">
        <f t="shared" si="11"/>
        <v>4.855615575475698</v>
      </c>
      <c r="AA43" s="186">
        <f t="shared" si="11"/>
        <v>4.855615575475698</v>
      </c>
      <c r="AB43" s="186">
        <f t="shared" si="11"/>
        <v>4.855615575475698</v>
      </c>
      <c r="AC43" s="186">
        <f t="shared" si="11"/>
        <v>4.855615575475698</v>
      </c>
      <c r="AD43" s="186">
        <f t="shared" si="11"/>
        <v>4.855615575475698</v>
      </c>
      <c r="AE43" s="186">
        <f t="shared" si="11"/>
        <v>4.855615575475698</v>
      </c>
      <c r="AF43" s="186">
        <f t="shared" si="11"/>
        <v>4.855615575475698</v>
      </c>
    </row>
    <row r="44" spans="1:32" s="16" customFormat="1" ht="15">
      <c r="A44" s="247" t="s">
        <v>145</v>
      </c>
      <c r="B44" s="180"/>
      <c r="C44" s="180"/>
      <c r="D44" s="186"/>
      <c r="E44" s="186"/>
      <c r="F44" s="186"/>
      <c r="G44" s="186"/>
      <c r="H44" s="186"/>
      <c r="I44" s="186"/>
      <c r="J44" s="186">
        <f aca="true" t="shared" si="12" ref="J44:AF44">IF($I$36/$C$35*(J$5-$I$5)&gt;$I$36,0,$I$36/$C$35)</f>
        <v>5.165194156082296</v>
      </c>
      <c r="K44" s="186">
        <f t="shared" si="12"/>
        <v>5.165194156082296</v>
      </c>
      <c r="L44" s="186">
        <f t="shared" si="12"/>
        <v>5.165194156082296</v>
      </c>
      <c r="M44" s="186">
        <f t="shared" si="12"/>
        <v>5.165194156082296</v>
      </c>
      <c r="N44" s="186">
        <f t="shared" si="12"/>
        <v>5.165194156082296</v>
      </c>
      <c r="O44" s="186">
        <f t="shared" si="12"/>
        <v>5.165194156082296</v>
      </c>
      <c r="P44" s="186">
        <f t="shared" si="12"/>
        <v>5.165194156082296</v>
      </c>
      <c r="Q44" s="186">
        <f t="shared" si="12"/>
        <v>5.165194156082296</v>
      </c>
      <c r="R44" s="186">
        <f t="shared" si="12"/>
        <v>5.165194156082296</v>
      </c>
      <c r="S44" s="186">
        <f t="shared" si="12"/>
        <v>5.165194156082296</v>
      </c>
      <c r="T44" s="186">
        <f t="shared" si="12"/>
        <v>5.165194156082296</v>
      </c>
      <c r="U44" s="186">
        <f t="shared" si="12"/>
        <v>5.165194156082296</v>
      </c>
      <c r="V44" s="186">
        <f t="shared" si="12"/>
        <v>5.165194156082296</v>
      </c>
      <c r="W44" s="186">
        <f t="shared" si="12"/>
        <v>5.165194156082296</v>
      </c>
      <c r="X44" s="186">
        <f t="shared" si="12"/>
        <v>5.165194156082296</v>
      </c>
      <c r="Y44" s="186">
        <f t="shared" si="12"/>
        <v>5.165194156082296</v>
      </c>
      <c r="Z44" s="186">
        <f t="shared" si="12"/>
        <v>5.165194156082296</v>
      </c>
      <c r="AA44" s="186">
        <f t="shared" si="12"/>
        <v>5.165194156082296</v>
      </c>
      <c r="AB44" s="186">
        <f t="shared" si="12"/>
        <v>5.165194156082296</v>
      </c>
      <c r="AC44" s="186">
        <f t="shared" si="12"/>
        <v>5.165194156082296</v>
      </c>
      <c r="AD44" s="186">
        <f t="shared" si="12"/>
        <v>5.165194156082296</v>
      </c>
      <c r="AE44" s="186">
        <f t="shared" si="12"/>
        <v>5.165194156082296</v>
      </c>
      <c r="AF44" s="186">
        <f t="shared" si="12"/>
        <v>5.165194156082296</v>
      </c>
    </row>
    <row r="45" spans="1:32" s="16" customFormat="1" ht="15">
      <c r="A45" s="247" t="s">
        <v>146</v>
      </c>
      <c r="B45" s="180"/>
      <c r="C45" s="180"/>
      <c r="D45" s="186"/>
      <c r="E45" s="186"/>
      <c r="F45" s="186"/>
      <c r="G45" s="186"/>
      <c r="H45" s="186"/>
      <c r="I45" s="186"/>
      <c r="J45" s="186"/>
      <c r="K45" s="186">
        <f aca="true" t="shared" si="13" ref="K45:AF45">IF($J$36/$C$35*(K$5-$J$5)&gt;$J$36,0,$J$36/$C$35)</f>
        <v>5.539633299491589</v>
      </c>
      <c r="L45" s="186">
        <f t="shared" si="13"/>
        <v>5.539633299491589</v>
      </c>
      <c r="M45" s="186">
        <f t="shared" si="13"/>
        <v>5.539633299491589</v>
      </c>
      <c r="N45" s="186">
        <f t="shared" si="13"/>
        <v>5.539633299491589</v>
      </c>
      <c r="O45" s="186">
        <f t="shared" si="13"/>
        <v>5.539633299491589</v>
      </c>
      <c r="P45" s="186">
        <f t="shared" si="13"/>
        <v>5.539633299491589</v>
      </c>
      <c r="Q45" s="186">
        <f t="shared" si="13"/>
        <v>5.539633299491589</v>
      </c>
      <c r="R45" s="186">
        <f t="shared" si="13"/>
        <v>5.539633299491589</v>
      </c>
      <c r="S45" s="186">
        <f t="shared" si="13"/>
        <v>5.539633299491589</v>
      </c>
      <c r="T45" s="186">
        <f t="shared" si="13"/>
        <v>5.539633299491589</v>
      </c>
      <c r="U45" s="186">
        <f t="shared" si="13"/>
        <v>5.539633299491589</v>
      </c>
      <c r="V45" s="186">
        <f t="shared" si="13"/>
        <v>5.539633299491589</v>
      </c>
      <c r="W45" s="186">
        <f t="shared" si="13"/>
        <v>5.539633299491589</v>
      </c>
      <c r="X45" s="186">
        <f t="shared" si="13"/>
        <v>5.539633299491589</v>
      </c>
      <c r="Y45" s="186">
        <f t="shared" si="13"/>
        <v>5.539633299491589</v>
      </c>
      <c r="Z45" s="186">
        <f t="shared" si="13"/>
        <v>5.539633299491589</v>
      </c>
      <c r="AA45" s="186">
        <f t="shared" si="13"/>
        <v>5.539633299491589</v>
      </c>
      <c r="AB45" s="186">
        <f t="shared" si="13"/>
        <v>5.539633299491589</v>
      </c>
      <c r="AC45" s="186">
        <f t="shared" si="13"/>
        <v>5.539633299491589</v>
      </c>
      <c r="AD45" s="186">
        <f t="shared" si="13"/>
        <v>5.539633299491589</v>
      </c>
      <c r="AE45" s="186">
        <f t="shared" si="13"/>
        <v>5.539633299491589</v>
      </c>
      <c r="AF45" s="186">
        <f t="shared" si="13"/>
        <v>5.539633299491589</v>
      </c>
    </row>
    <row r="46" spans="1:32" s="16" customFormat="1" ht="15">
      <c r="A46" s="247" t="s">
        <v>147</v>
      </c>
      <c r="B46" s="180"/>
      <c r="C46" s="180"/>
      <c r="D46" s="186"/>
      <c r="E46" s="186"/>
      <c r="F46" s="186"/>
      <c r="G46" s="186"/>
      <c r="H46" s="186"/>
      <c r="I46" s="186"/>
      <c r="J46" s="186"/>
      <c r="K46" s="186"/>
      <c r="L46" s="186">
        <f aca="true" t="shared" si="14" ref="L46:AF46">IF($K$36/$C$35*(L$5-$K$5)&gt;$K$36,0,$K$36/$C$35)</f>
        <v>5.898218707778125</v>
      </c>
      <c r="M46" s="186">
        <f t="shared" si="14"/>
        <v>5.898218707778125</v>
      </c>
      <c r="N46" s="186">
        <f t="shared" si="14"/>
        <v>5.898218707778125</v>
      </c>
      <c r="O46" s="186">
        <f t="shared" si="14"/>
        <v>5.898218707778125</v>
      </c>
      <c r="P46" s="186">
        <f t="shared" si="14"/>
        <v>5.898218707778125</v>
      </c>
      <c r="Q46" s="186">
        <f t="shared" si="14"/>
        <v>5.898218707778125</v>
      </c>
      <c r="R46" s="186">
        <f t="shared" si="14"/>
        <v>5.898218707778125</v>
      </c>
      <c r="S46" s="186">
        <f t="shared" si="14"/>
        <v>5.898218707778125</v>
      </c>
      <c r="T46" s="186">
        <f t="shared" si="14"/>
        <v>5.898218707778125</v>
      </c>
      <c r="U46" s="186">
        <f t="shared" si="14"/>
        <v>5.898218707778125</v>
      </c>
      <c r="V46" s="186">
        <f t="shared" si="14"/>
        <v>5.898218707778125</v>
      </c>
      <c r="W46" s="186">
        <f t="shared" si="14"/>
        <v>5.898218707778125</v>
      </c>
      <c r="X46" s="186">
        <f t="shared" si="14"/>
        <v>5.898218707778125</v>
      </c>
      <c r="Y46" s="186">
        <f t="shared" si="14"/>
        <v>5.898218707778125</v>
      </c>
      <c r="Z46" s="186">
        <f t="shared" si="14"/>
        <v>5.898218707778125</v>
      </c>
      <c r="AA46" s="186">
        <f t="shared" si="14"/>
        <v>5.898218707778125</v>
      </c>
      <c r="AB46" s="186">
        <f t="shared" si="14"/>
        <v>5.898218707778125</v>
      </c>
      <c r="AC46" s="186">
        <f t="shared" si="14"/>
        <v>5.898218707778125</v>
      </c>
      <c r="AD46" s="186">
        <f t="shared" si="14"/>
        <v>5.898218707778125</v>
      </c>
      <c r="AE46" s="186">
        <f t="shared" si="14"/>
        <v>5.898218707778125</v>
      </c>
      <c r="AF46" s="186">
        <f t="shared" si="14"/>
        <v>5.898218707778125</v>
      </c>
    </row>
    <row r="47" spans="1:32" s="16" customFormat="1" ht="15" customHeight="1">
      <c r="A47" s="247" t="s">
        <v>148</v>
      </c>
      <c r="B47" s="180"/>
      <c r="C47" s="180"/>
      <c r="D47" s="186"/>
      <c r="E47" s="186"/>
      <c r="F47" s="186"/>
      <c r="G47" s="186"/>
      <c r="H47" s="186"/>
      <c r="I47" s="186"/>
      <c r="J47" s="186"/>
      <c r="K47" s="186"/>
      <c r="L47" s="186"/>
      <c r="M47" s="186">
        <f aca="true" t="shared" si="15" ref="M47:AF47">IF($L$36/$C$35*(M$5-$L$5)&gt;$L$36,0,$L$36/$C$35)</f>
        <v>6.325398548981648</v>
      </c>
      <c r="N47" s="186">
        <f t="shared" si="15"/>
        <v>6.325398548981648</v>
      </c>
      <c r="O47" s="186">
        <f t="shared" si="15"/>
        <v>6.325398548981648</v>
      </c>
      <c r="P47" s="186">
        <f t="shared" si="15"/>
        <v>6.325398548981648</v>
      </c>
      <c r="Q47" s="186">
        <f t="shared" si="15"/>
        <v>6.325398548981648</v>
      </c>
      <c r="R47" s="186">
        <f t="shared" si="15"/>
        <v>6.325398548981648</v>
      </c>
      <c r="S47" s="186">
        <f t="shared" si="15"/>
        <v>6.325398548981648</v>
      </c>
      <c r="T47" s="186">
        <f t="shared" si="15"/>
        <v>6.325398548981648</v>
      </c>
      <c r="U47" s="186">
        <f t="shared" si="15"/>
        <v>6.325398548981648</v>
      </c>
      <c r="V47" s="186">
        <f t="shared" si="15"/>
        <v>6.325398548981648</v>
      </c>
      <c r="W47" s="186">
        <f t="shared" si="15"/>
        <v>6.325398548981648</v>
      </c>
      <c r="X47" s="186">
        <f t="shared" si="15"/>
        <v>6.325398548981648</v>
      </c>
      <c r="Y47" s="186">
        <f t="shared" si="15"/>
        <v>6.325398548981648</v>
      </c>
      <c r="Z47" s="186">
        <f t="shared" si="15"/>
        <v>6.325398548981648</v>
      </c>
      <c r="AA47" s="186">
        <f t="shared" si="15"/>
        <v>6.325398548981648</v>
      </c>
      <c r="AB47" s="186">
        <f t="shared" si="15"/>
        <v>6.325398548981648</v>
      </c>
      <c r="AC47" s="186">
        <f t="shared" si="15"/>
        <v>6.325398548981648</v>
      </c>
      <c r="AD47" s="186">
        <f t="shared" si="15"/>
        <v>6.325398548981648</v>
      </c>
      <c r="AE47" s="186">
        <f t="shared" si="15"/>
        <v>6.325398548981648</v>
      </c>
      <c r="AF47" s="186">
        <f t="shared" si="15"/>
        <v>6.325398548981648</v>
      </c>
    </row>
    <row r="48" spans="1:32" s="16" customFormat="1" ht="15" customHeight="1">
      <c r="A48" s="247" t="s">
        <v>172</v>
      </c>
      <c r="B48" s="180"/>
      <c r="C48" s="180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>
        <f>IF($M$36/$C$35*(N$5-$M$5)&gt;$M$36,0,$M$36/$C$35)</f>
        <v>6.78247436395119</v>
      </c>
      <c r="O48" s="186">
        <f aca="true" t="shared" si="16" ref="O48:AF48">IF($M$36/$C$35*(O$5-$M$5)&gt;$M$36,0,$M$36/$C$35)</f>
        <v>6.78247436395119</v>
      </c>
      <c r="P48" s="186">
        <f t="shared" si="16"/>
        <v>6.78247436395119</v>
      </c>
      <c r="Q48" s="186">
        <f t="shared" si="16"/>
        <v>6.78247436395119</v>
      </c>
      <c r="R48" s="186">
        <f t="shared" si="16"/>
        <v>6.78247436395119</v>
      </c>
      <c r="S48" s="186">
        <f t="shared" si="16"/>
        <v>6.78247436395119</v>
      </c>
      <c r="T48" s="186">
        <f t="shared" si="16"/>
        <v>6.78247436395119</v>
      </c>
      <c r="U48" s="186">
        <f t="shared" si="16"/>
        <v>6.78247436395119</v>
      </c>
      <c r="V48" s="186">
        <f t="shared" si="16"/>
        <v>6.78247436395119</v>
      </c>
      <c r="W48" s="186">
        <f t="shared" si="16"/>
        <v>6.78247436395119</v>
      </c>
      <c r="X48" s="186">
        <f t="shared" si="16"/>
        <v>6.78247436395119</v>
      </c>
      <c r="Y48" s="186">
        <f t="shared" si="16"/>
        <v>6.78247436395119</v>
      </c>
      <c r="Z48" s="186">
        <f t="shared" si="16"/>
        <v>6.78247436395119</v>
      </c>
      <c r="AA48" s="186">
        <f t="shared" si="16"/>
        <v>6.78247436395119</v>
      </c>
      <c r="AB48" s="186">
        <f t="shared" si="16"/>
        <v>6.78247436395119</v>
      </c>
      <c r="AC48" s="186">
        <f t="shared" si="16"/>
        <v>6.78247436395119</v>
      </c>
      <c r="AD48" s="186">
        <f t="shared" si="16"/>
        <v>6.78247436395119</v>
      </c>
      <c r="AE48" s="186">
        <f t="shared" si="16"/>
        <v>6.78247436395119</v>
      </c>
      <c r="AF48" s="186">
        <f t="shared" si="16"/>
        <v>6.78247436395119</v>
      </c>
    </row>
    <row r="49" spans="1:32" s="16" customFormat="1" ht="15" customHeight="1">
      <c r="A49" s="247" t="s">
        <v>173</v>
      </c>
      <c r="B49" s="180"/>
      <c r="C49" s="180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>
        <f aca="true" t="shared" si="17" ref="O49:AF49">IF($N$36/$C$35*(O$5-$N$5)&gt;$N$36,0,$N$36/$C$35)</f>
        <v>18.968440181277135</v>
      </c>
      <c r="P49" s="186">
        <f t="shared" si="17"/>
        <v>18.968440181277135</v>
      </c>
      <c r="Q49" s="186">
        <f t="shared" si="17"/>
        <v>18.968440181277135</v>
      </c>
      <c r="R49" s="186">
        <f t="shared" si="17"/>
        <v>18.968440181277135</v>
      </c>
      <c r="S49" s="186">
        <f t="shared" si="17"/>
        <v>18.968440181277135</v>
      </c>
      <c r="T49" s="186">
        <f t="shared" si="17"/>
        <v>18.968440181277135</v>
      </c>
      <c r="U49" s="186">
        <f t="shared" si="17"/>
        <v>18.968440181277135</v>
      </c>
      <c r="V49" s="186">
        <f t="shared" si="17"/>
        <v>18.968440181277135</v>
      </c>
      <c r="W49" s="186">
        <f t="shared" si="17"/>
        <v>18.968440181277135</v>
      </c>
      <c r="X49" s="186">
        <f t="shared" si="17"/>
        <v>18.968440181277135</v>
      </c>
      <c r="Y49" s="186">
        <f t="shared" si="17"/>
        <v>18.968440181277135</v>
      </c>
      <c r="Z49" s="186">
        <f t="shared" si="17"/>
        <v>18.968440181277135</v>
      </c>
      <c r="AA49" s="186">
        <f t="shared" si="17"/>
        <v>18.968440181277135</v>
      </c>
      <c r="AB49" s="186">
        <f t="shared" si="17"/>
        <v>18.968440181277135</v>
      </c>
      <c r="AC49" s="186">
        <f t="shared" si="17"/>
        <v>18.968440181277135</v>
      </c>
      <c r="AD49" s="186">
        <f t="shared" si="17"/>
        <v>18.968440181277135</v>
      </c>
      <c r="AE49" s="186">
        <f t="shared" si="17"/>
        <v>18.968440181277135</v>
      </c>
      <c r="AF49" s="186">
        <f t="shared" si="17"/>
        <v>18.968440181277135</v>
      </c>
    </row>
    <row r="50" spans="1:32" s="16" customFormat="1" ht="15" customHeight="1">
      <c r="A50" s="247" t="s">
        <v>174</v>
      </c>
      <c r="B50" s="180"/>
      <c r="C50" s="180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>
        <f aca="true" t="shared" si="18" ref="P50:AF50">IF($O$36/$C$35*(P$5-$O$5)&gt;$O$36,0,$O$36/$C$35)</f>
        <v>26.26528780252159</v>
      </c>
      <c r="Q50" s="186">
        <f t="shared" si="18"/>
        <v>26.26528780252159</v>
      </c>
      <c r="R50" s="186">
        <f t="shared" si="18"/>
        <v>26.26528780252159</v>
      </c>
      <c r="S50" s="186">
        <f t="shared" si="18"/>
        <v>26.26528780252159</v>
      </c>
      <c r="T50" s="186">
        <f t="shared" si="18"/>
        <v>26.26528780252159</v>
      </c>
      <c r="U50" s="186">
        <f t="shared" si="18"/>
        <v>26.26528780252159</v>
      </c>
      <c r="V50" s="186">
        <f t="shared" si="18"/>
        <v>26.26528780252159</v>
      </c>
      <c r="W50" s="186">
        <f t="shared" si="18"/>
        <v>26.26528780252159</v>
      </c>
      <c r="X50" s="186">
        <f t="shared" si="18"/>
        <v>26.26528780252159</v>
      </c>
      <c r="Y50" s="186">
        <f t="shared" si="18"/>
        <v>26.26528780252159</v>
      </c>
      <c r="Z50" s="186">
        <f t="shared" si="18"/>
        <v>26.26528780252159</v>
      </c>
      <c r="AA50" s="186">
        <f t="shared" si="18"/>
        <v>26.26528780252159</v>
      </c>
      <c r="AB50" s="186">
        <f t="shared" si="18"/>
        <v>26.26528780252159</v>
      </c>
      <c r="AC50" s="186">
        <f t="shared" si="18"/>
        <v>26.26528780252159</v>
      </c>
      <c r="AD50" s="186">
        <f t="shared" si="18"/>
        <v>26.26528780252159</v>
      </c>
      <c r="AE50" s="186">
        <f t="shared" si="18"/>
        <v>26.26528780252159</v>
      </c>
      <c r="AF50" s="186">
        <f t="shared" si="18"/>
        <v>26.26528780252159</v>
      </c>
    </row>
    <row r="51" spans="1:32" s="16" customFormat="1" ht="15" customHeight="1">
      <c r="A51" s="247" t="s">
        <v>175</v>
      </c>
      <c r="B51" s="180"/>
      <c r="C51" s="180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>
        <f aca="true" t="shared" si="19" ref="Q51:AF51">IF($P$36/$C$35*(Q$5-$P$5)&gt;$P$36,0,$P$36/$C$35)</f>
        <v>27.29763860153667</v>
      </c>
      <c r="R51" s="186">
        <f t="shared" si="19"/>
        <v>27.29763860153667</v>
      </c>
      <c r="S51" s="186">
        <f t="shared" si="19"/>
        <v>27.29763860153667</v>
      </c>
      <c r="T51" s="186">
        <f t="shared" si="19"/>
        <v>27.29763860153667</v>
      </c>
      <c r="U51" s="186">
        <f t="shared" si="19"/>
        <v>27.29763860153667</v>
      </c>
      <c r="V51" s="186">
        <f t="shared" si="19"/>
        <v>27.29763860153667</v>
      </c>
      <c r="W51" s="186">
        <f t="shared" si="19"/>
        <v>27.29763860153667</v>
      </c>
      <c r="X51" s="186">
        <f t="shared" si="19"/>
        <v>27.29763860153667</v>
      </c>
      <c r="Y51" s="186">
        <f t="shared" si="19"/>
        <v>27.29763860153667</v>
      </c>
      <c r="Z51" s="186">
        <f t="shared" si="19"/>
        <v>27.29763860153667</v>
      </c>
      <c r="AA51" s="186">
        <f t="shared" si="19"/>
        <v>27.29763860153667</v>
      </c>
      <c r="AB51" s="186">
        <f t="shared" si="19"/>
        <v>27.29763860153667</v>
      </c>
      <c r="AC51" s="186">
        <f t="shared" si="19"/>
        <v>27.29763860153667</v>
      </c>
      <c r="AD51" s="186">
        <f t="shared" si="19"/>
        <v>27.29763860153667</v>
      </c>
      <c r="AE51" s="186">
        <f t="shared" si="19"/>
        <v>27.29763860153667</v>
      </c>
      <c r="AF51" s="186">
        <f t="shared" si="19"/>
        <v>27.29763860153667</v>
      </c>
    </row>
    <row r="52" spans="1:32" s="16" customFormat="1" ht="15" customHeight="1">
      <c r="A52" s="247" t="s">
        <v>176</v>
      </c>
      <c r="B52" s="180"/>
      <c r="C52" s="180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>
        <f aca="true" t="shared" si="20" ref="R52:AF52">IF($Q$36/$C$35*(R$5-$Q$5)&gt;$Q$36,0,$Q$36/$C$35)</f>
        <v>28.424707327059437</v>
      </c>
      <c r="S52" s="186">
        <f t="shared" si="20"/>
        <v>28.424707327059437</v>
      </c>
      <c r="T52" s="186">
        <f t="shared" si="20"/>
        <v>28.424707327059437</v>
      </c>
      <c r="U52" s="186">
        <f t="shared" si="20"/>
        <v>28.424707327059437</v>
      </c>
      <c r="V52" s="186">
        <f t="shared" si="20"/>
        <v>28.424707327059437</v>
      </c>
      <c r="W52" s="186">
        <f t="shared" si="20"/>
        <v>28.424707327059437</v>
      </c>
      <c r="X52" s="186">
        <f t="shared" si="20"/>
        <v>28.424707327059437</v>
      </c>
      <c r="Y52" s="186">
        <f t="shared" si="20"/>
        <v>28.424707327059437</v>
      </c>
      <c r="Z52" s="186">
        <f t="shared" si="20"/>
        <v>28.424707327059437</v>
      </c>
      <c r="AA52" s="186">
        <f t="shared" si="20"/>
        <v>28.424707327059437</v>
      </c>
      <c r="AB52" s="186">
        <f t="shared" si="20"/>
        <v>28.424707327059437</v>
      </c>
      <c r="AC52" s="186">
        <f t="shared" si="20"/>
        <v>28.424707327059437</v>
      </c>
      <c r="AD52" s="186">
        <f t="shared" si="20"/>
        <v>28.424707327059437</v>
      </c>
      <c r="AE52" s="186">
        <f t="shared" si="20"/>
        <v>28.424707327059437</v>
      </c>
      <c r="AF52" s="186">
        <f t="shared" si="20"/>
        <v>28.424707327059437</v>
      </c>
    </row>
    <row r="53" spans="1:32" s="16" customFormat="1" ht="15" customHeight="1">
      <c r="A53" s="247" t="s">
        <v>177</v>
      </c>
      <c r="B53" s="180"/>
      <c r="C53" s="180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>
        <f aca="true" t="shared" si="21" ref="S53:AF53">IF($R$36/$C$35*(S$5-$R$5)&gt;$R$36,0,$R$36/$C$35)</f>
        <v>29.59502583784172</v>
      </c>
      <c r="T53" s="186">
        <f t="shared" si="21"/>
        <v>29.59502583784172</v>
      </c>
      <c r="U53" s="186">
        <f t="shared" si="21"/>
        <v>29.59502583784172</v>
      </c>
      <c r="V53" s="186">
        <f t="shared" si="21"/>
        <v>29.59502583784172</v>
      </c>
      <c r="W53" s="186">
        <f t="shared" si="21"/>
        <v>29.59502583784172</v>
      </c>
      <c r="X53" s="186">
        <f t="shared" si="21"/>
        <v>29.59502583784172</v>
      </c>
      <c r="Y53" s="186">
        <f t="shared" si="21"/>
        <v>29.59502583784172</v>
      </c>
      <c r="Z53" s="186">
        <f t="shared" si="21"/>
        <v>29.59502583784172</v>
      </c>
      <c r="AA53" s="186">
        <f t="shared" si="21"/>
        <v>29.59502583784172</v>
      </c>
      <c r="AB53" s="186">
        <f t="shared" si="21"/>
        <v>29.59502583784172</v>
      </c>
      <c r="AC53" s="186">
        <f t="shared" si="21"/>
        <v>29.59502583784172</v>
      </c>
      <c r="AD53" s="186">
        <f t="shared" si="21"/>
        <v>29.59502583784172</v>
      </c>
      <c r="AE53" s="186">
        <f t="shared" si="21"/>
        <v>29.59502583784172</v>
      </c>
      <c r="AF53" s="186">
        <f t="shared" si="21"/>
        <v>29.59502583784172</v>
      </c>
    </row>
    <row r="54" spans="1:32" s="16" customFormat="1" ht="15" customHeight="1">
      <c r="A54" s="247" t="s">
        <v>178</v>
      </c>
      <c r="B54" s="180"/>
      <c r="C54" s="180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>
        <f aca="true" t="shared" si="22" ref="T54:AF54">IF($S$36/$C$35*(T$5-$S$5)&gt;$S$36,0,$S$36/$C$35)</f>
        <v>30.819606331530085</v>
      </c>
      <c r="U54" s="186">
        <f t="shared" si="22"/>
        <v>30.819606331530085</v>
      </c>
      <c r="V54" s="186">
        <f t="shared" si="22"/>
        <v>30.819606331530085</v>
      </c>
      <c r="W54" s="186">
        <f t="shared" si="22"/>
        <v>30.819606331530085</v>
      </c>
      <c r="X54" s="186">
        <f t="shared" si="22"/>
        <v>30.819606331530085</v>
      </c>
      <c r="Y54" s="186">
        <f t="shared" si="22"/>
        <v>30.819606331530085</v>
      </c>
      <c r="Z54" s="186">
        <f t="shared" si="22"/>
        <v>30.819606331530085</v>
      </c>
      <c r="AA54" s="186">
        <f t="shared" si="22"/>
        <v>30.819606331530085</v>
      </c>
      <c r="AB54" s="186">
        <f t="shared" si="22"/>
        <v>30.819606331530085</v>
      </c>
      <c r="AC54" s="186">
        <f t="shared" si="22"/>
        <v>30.819606331530085</v>
      </c>
      <c r="AD54" s="186">
        <f t="shared" si="22"/>
        <v>30.819606331530085</v>
      </c>
      <c r="AE54" s="186">
        <f t="shared" si="22"/>
        <v>30.819606331530085</v>
      </c>
      <c r="AF54" s="186">
        <f t="shared" si="22"/>
        <v>30.819606331530085</v>
      </c>
    </row>
    <row r="55" spans="1:32" s="16" customFormat="1" ht="15" customHeight="1">
      <c r="A55" s="247" t="s">
        <v>179</v>
      </c>
      <c r="B55" s="180"/>
      <c r="C55" s="180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>
        <f aca="true" t="shared" si="23" ref="U55:AF55">IF($T$36/$C$35*(U$5-$T$5)&gt;$T$36,0,$T$36/$C$35)</f>
        <v>32.08867638038138</v>
      </c>
      <c r="V55" s="186">
        <f t="shared" si="23"/>
        <v>32.08867638038138</v>
      </c>
      <c r="W55" s="186">
        <f t="shared" si="23"/>
        <v>32.08867638038138</v>
      </c>
      <c r="X55" s="186">
        <f t="shared" si="23"/>
        <v>32.08867638038138</v>
      </c>
      <c r="Y55" s="186">
        <f t="shared" si="23"/>
        <v>32.08867638038138</v>
      </c>
      <c r="Z55" s="186">
        <f t="shared" si="23"/>
        <v>32.08867638038138</v>
      </c>
      <c r="AA55" s="186">
        <f t="shared" si="23"/>
        <v>32.08867638038138</v>
      </c>
      <c r="AB55" s="186">
        <f t="shared" si="23"/>
        <v>32.08867638038138</v>
      </c>
      <c r="AC55" s="186">
        <f t="shared" si="23"/>
        <v>32.08867638038138</v>
      </c>
      <c r="AD55" s="186">
        <f t="shared" si="23"/>
        <v>32.08867638038138</v>
      </c>
      <c r="AE55" s="186">
        <f t="shared" si="23"/>
        <v>32.08867638038138</v>
      </c>
      <c r="AF55" s="186">
        <f t="shared" si="23"/>
        <v>32.08867638038138</v>
      </c>
    </row>
    <row r="56" spans="1:32" s="16" customFormat="1" ht="15" customHeight="1">
      <c r="A56" s="247" t="s">
        <v>180</v>
      </c>
      <c r="B56" s="180"/>
      <c r="C56" s="180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>
        <f aca="true" t="shared" si="24" ref="V56:AF56">IF($U$36/$C$35*(V$5-$U$5)&gt;$U$36,0,$U$36/$C$35)</f>
        <v>33.414567255974866</v>
      </c>
      <c r="W56" s="186">
        <f t="shared" si="24"/>
        <v>33.414567255974866</v>
      </c>
      <c r="X56" s="186">
        <f t="shared" si="24"/>
        <v>33.414567255974866</v>
      </c>
      <c r="Y56" s="186">
        <f t="shared" si="24"/>
        <v>33.414567255974866</v>
      </c>
      <c r="Z56" s="186">
        <f t="shared" si="24"/>
        <v>33.414567255974866</v>
      </c>
      <c r="AA56" s="186">
        <f t="shared" si="24"/>
        <v>33.414567255974866</v>
      </c>
      <c r="AB56" s="186">
        <f t="shared" si="24"/>
        <v>33.414567255974866</v>
      </c>
      <c r="AC56" s="186">
        <f t="shared" si="24"/>
        <v>33.414567255974866</v>
      </c>
      <c r="AD56" s="186">
        <f t="shared" si="24"/>
        <v>33.414567255974866</v>
      </c>
      <c r="AE56" s="186">
        <f t="shared" si="24"/>
        <v>33.414567255974866</v>
      </c>
      <c r="AF56" s="186">
        <f t="shared" si="24"/>
        <v>33.414567255974866</v>
      </c>
    </row>
    <row r="57" spans="1:32" s="16" customFormat="1" ht="15" customHeight="1">
      <c r="A57" s="247" t="s">
        <v>181</v>
      </c>
      <c r="B57" s="180"/>
      <c r="C57" s="180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>
        <f aca="true" t="shared" si="25" ref="W57:AF57">IF($V$36/$C$35*(W$5-$V$5)&gt;$V$36,0,$V$36/$C$35)</f>
        <v>34.80029465092233</v>
      </c>
      <c r="X57" s="186">
        <f t="shared" si="25"/>
        <v>34.80029465092233</v>
      </c>
      <c r="Y57" s="186">
        <f t="shared" si="25"/>
        <v>34.80029465092233</v>
      </c>
      <c r="Z57" s="186">
        <f t="shared" si="25"/>
        <v>34.80029465092233</v>
      </c>
      <c r="AA57" s="186">
        <f t="shared" si="25"/>
        <v>34.80029465092233</v>
      </c>
      <c r="AB57" s="186">
        <f t="shared" si="25"/>
        <v>34.80029465092233</v>
      </c>
      <c r="AC57" s="186">
        <f t="shared" si="25"/>
        <v>34.80029465092233</v>
      </c>
      <c r="AD57" s="186">
        <f t="shared" si="25"/>
        <v>34.80029465092233</v>
      </c>
      <c r="AE57" s="186">
        <f t="shared" si="25"/>
        <v>34.80029465092233</v>
      </c>
      <c r="AF57" s="186">
        <f t="shared" si="25"/>
        <v>34.80029465092233</v>
      </c>
    </row>
    <row r="58" spans="1:32" s="16" customFormat="1" ht="15" customHeight="1">
      <c r="A58" s="247" t="s">
        <v>190</v>
      </c>
      <c r="B58" s="180"/>
      <c r="C58" s="180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>
        <f aca="true" t="shared" si="26" ref="X58:AF58">IF($W$36/$C$35*(X$5-$W$5)&gt;$W$36,0,$W$36/$C$35)</f>
        <v>36.232848207439126</v>
      </c>
      <c r="Y58" s="186">
        <f t="shared" si="26"/>
        <v>36.232848207439126</v>
      </c>
      <c r="Z58" s="186">
        <f t="shared" si="26"/>
        <v>36.232848207439126</v>
      </c>
      <c r="AA58" s="186">
        <f t="shared" si="26"/>
        <v>36.232848207439126</v>
      </c>
      <c r="AB58" s="186">
        <f t="shared" si="26"/>
        <v>36.232848207439126</v>
      </c>
      <c r="AC58" s="186">
        <f t="shared" si="26"/>
        <v>36.232848207439126</v>
      </c>
      <c r="AD58" s="186">
        <f t="shared" si="26"/>
        <v>36.232848207439126</v>
      </c>
      <c r="AE58" s="186">
        <f t="shared" si="26"/>
        <v>36.232848207439126</v>
      </c>
      <c r="AF58" s="186">
        <f t="shared" si="26"/>
        <v>36.232848207439126</v>
      </c>
    </row>
    <row r="59" spans="1:32" s="16" customFormat="1" ht="15" customHeight="1">
      <c r="A59" s="247" t="s">
        <v>182</v>
      </c>
      <c r="B59" s="180"/>
      <c r="C59" s="180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>
        <f aca="true" t="shared" si="27" ref="Y59:AF59">IF($X$36/$C$35*(Y$5-$X$5)&gt;$X$36,0,$X$36/$C$35)</f>
        <v>37.729241033364104</v>
      </c>
      <c r="Z59" s="186">
        <f t="shared" si="27"/>
        <v>37.729241033364104</v>
      </c>
      <c r="AA59" s="186">
        <f t="shared" si="27"/>
        <v>37.729241033364104</v>
      </c>
      <c r="AB59" s="186">
        <f t="shared" si="27"/>
        <v>37.729241033364104</v>
      </c>
      <c r="AC59" s="186">
        <f t="shared" si="27"/>
        <v>37.729241033364104</v>
      </c>
      <c r="AD59" s="186">
        <f t="shared" si="27"/>
        <v>37.729241033364104</v>
      </c>
      <c r="AE59" s="186">
        <f t="shared" si="27"/>
        <v>37.729241033364104</v>
      </c>
      <c r="AF59" s="186">
        <f t="shared" si="27"/>
        <v>37.729241033364104</v>
      </c>
    </row>
    <row r="60" spans="1:32" s="16" customFormat="1" ht="15" customHeight="1">
      <c r="A60" s="247" t="s">
        <v>183</v>
      </c>
      <c r="B60" s="180"/>
      <c r="C60" s="180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>
        <f aca="true" t="shared" si="28" ref="Z60:AF60">IF($Y$36/$C$35*(Z$5-$Y$5)&gt;$Y$36,0,$Y$36/$C$35)</f>
        <v>39.286636320172754</v>
      </c>
      <c r="AA60" s="186">
        <f t="shared" si="28"/>
        <v>39.286636320172754</v>
      </c>
      <c r="AB60" s="186">
        <f t="shared" si="28"/>
        <v>39.286636320172754</v>
      </c>
      <c r="AC60" s="186">
        <f t="shared" si="28"/>
        <v>39.286636320172754</v>
      </c>
      <c r="AD60" s="186">
        <f t="shared" si="28"/>
        <v>39.286636320172754</v>
      </c>
      <c r="AE60" s="186">
        <f t="shared" si="28"/>
        <v>39.286636320172754</v>
      </c>
      <c r="AF60" s="186">
        <f t="shared" si="28"/>
        <v>39.286636320172754</v>
      </c>
    </row>
    <row r="61" spans="1:32" s="16" customFormat="1" ht="15" customHeight="1">
      <c r="A61" s="247" t="s">
        <v>184</v>
      </c>
      <c r="B61" s="180"/>
      <c r="C61" s="180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>
        <f aca="true" t="shared" si="29" ref="AA61:AF61">IF($Z$36/$C$35*(AA$5-$Z$5)&gt;$Z$36,0,$Z$36/$C$35)</f>
        <v>40.90781801151413</v>
      </c>
      <c r="AB61" s="186">
        <f t="shared" si="29"/>
        <v>40.90781801151413</v>
      </c>
      <c r="AC61" s="186">
        <f t="shared" si="29"/>
        <v>40.90781801151413</v>
      </c>
      <c r="AD61" s="186">
        <f t="shared" si="29"/>
        <v>40.90781801151413</v>
      </c>
      <c r="AE61" s="186">
        <f t="shared" si="29"/>
        <v>40.90781801151413</v>
      </c>
      <c r="AF61" s="186">
        <f t="shared" si="29"/>
        <v>40.90781801151413</v>
      </c>
    </row>
    <row r="62" spans="1:32" s="16" customFormat="1" ht="15" customHeight="1">
      <c r="A62" s="247" t="s">
        <v>185</v>
      </c>
      <c r="B62" s="180"/>
      <c r="C62" s="180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>
        <f>IF($AA$36/$C$35*(AB$5-$AA$5)&gt;$AA$36,0,$AA$36/$C$35)</f>
        <v>46.897575567949815</v>
      </c>
      <c r="AC62" s="186">
        <f>IF($AA$36/$C$35*(AC$5-$AA$5)&gt;$AA$36,0,$AA$36/$C$35)</f>
        <v>46.897575567949815</v>
      </c>
      <c r="AD62" s="186">
        <f>IF($AA$36/$C$35*(AD$5-$AA$5)&gt;$AA$36,0,$AA$36/$C$35)</f>
        <v>46.897575567949815</v>
      </c>
      <c r="AE62" s="186">
        <f>IF($AA$36/$C$35*(AE$5-$AA$5)&gt;$AA$36,0,$AA$36/$C$35)</f>
        <v>46.897575567949815</v>
      </c>
      <c r="AF62" s="186">
        <f>IF($AA$36/$C$35*(AF$5-$AA$5)&gt;$AA$36,0,$AA$36/$C$35)</f>
        <v>46.897575567949815</v>
      </c>
    </row>
    <row r="63" spans="1:32" s="16" customFormat="1" ht="15" customHeight="1">
      <c r="A63" s="247" t="s">
        <v>186</v>
      </c>
      <c r="B63" s="180"/>
      <c r="C63" s="180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>
        <f>IF($AB$36/$C$35*(AC$5-$AB$5)&gt;$AB$36,0,$AB$36/$C$35)</f>
        <v>53.225359890289354</v>
      </c>
      <c r="AD63" s="186">
        <f>IF($AB$36/$C$35*(AD$5-$AB$5)&gt;$AB$36,0,$AB$36/$C$35)</f>
        <v>53.225359890289354</v>
      </c>
      <c r="AE63" s="186">
        <f>IF($AB$36/$C$35*(AE$5-$AB$5)&gt;$AB$36,0,$AB$36/$C$35)</f>
        <v>53.225359890289354</v>
      </c>
      <c r="AF63" s="186">
        <f>IF($AB$36/$C$35*(AF$5-$AB$5)&gt;$AB$36,0,$AB$36/$C$35)</f>
        <v>53.225359890289354</v>
      </c>
    </row>
    <row r="64" spans="1:32" s="16" customFormat="1" ht="15" customHeight="1">
      <c r="A64" s="247" t="s">
        <v>187</v>
      </c>
      <c r="B64" s="180"/>
      <c r="C64" s="180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>
        <f>IF($AC$36/$C$35*(AD$5-$AC$5)&gt;$AC$36,0,$AC$36/$C$35)</f>
        <v>55.423513526438946</v>
      </c>
      <c r="AE64" s="186">
        <f>IF($AC$36/$C$35*(AE$5-$AC$5)&gt;$AC$36,0,$AC$36/$C$35)</f>
        <v>55.423513526438946</v>
      </c>
      <c r="AF64" s="186">
        <f>IF($AC$36/$C$35*(AF$5-$AC$5)&gt;$AC$36,0,$AC$36/$C$35)</f>
        <v>55.423513526438946</v>
      </c>
    </row>
    <row r="65" spans="1:32" s="16" customFormat="1" ht="15" customHeight="1">
      <c r="A65" s="247" t="s">
        <v>188</v>
      </c>
      <c r="B65" s="180"/>
      <c r="C65" s="180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>
        <f>IF($AD$36/$C$35*(AE$5-$AD$5)&gt;$AD$36,0,$AD$36/$C$35)</f>
        <v>57.711385327025106</v>
      </c>
      <c r="AF65" s="186">
        <f>IF($AD$36/$C$35*(AF$5-$AD$5)&gt;$AD$36,0,$AD$36/$C$35)</f>
        <v>57.711385327025106</v>
      </c>
    </row>
    <row r="66" spans="1:32" s="16" customFormat="1" ht="15" customHeight="1">
      <c r="A66" s="247" t="s">
        <v>189</v>
      </c>
      <c r="B66" s="180"/>
      <c r="C66" s="180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>
        <f>IF($AE$36/$C$35*(AF$5-$AE$5)&gt;$AE$36,0,$AE$36/$C$35)</f>
        <v>65.1499889992021</v>
      </c>
    </row>
    <row r="67" spans="1:32" s="16" customFormat="1" ht="45">
      <c r="A67" s="212" t="s">
        <v>218</v>
      </c>
      <c r="B67" s="186"/>
      <c r="C67" s="241">
        <f>SUM(C38:C66)</f>
        <v>0</v>
      </c>
      <c r="D67" s="241">
        <f>SUM(D38:D66)</f>
        <v>9.166666666666666</v>
      </c>
      <c r="E67" s="241">
        <f>SUM(E38:E66)</f>
        <v>25.804696426666673</v>
      </c>
      <c r="F67" s="241">
        <f aca="true" t="shared" si="30" ref="F67:AE67">SUM(F38:F66)</f>
        <v>43.93094092666668</v>
      </c>
      <c r="G67" s="241">
        <f t="shared" si="30"/>
        <v>56.93593996984741</v>
      </c>
      <c r="H67" s="241">
        <f t="shared" si="30"/>
        <v>61.465268170947</v>
      </c>
      <c r="I67" s="241">
        <f t="shared" si="30"/>
        <v>66.3208837464227</v>
      </c>
      <c r="J67" s="241">
        <f t="shared" si="30"/>
        <v>71.48607790250499</v>
      </c>
      <c r="K67" s="241">
        <f t="shared" si="30"/>
        <v>77.02571120199657</v>
      </c>
      <c r="L67" s="241">
        <f t="shared" si="30"/>
        <v>82.9239299097747</v>
      </c>
      <c r="M67" s="241">
        <f t="shared" si="30"/>
        <v>89.24932845875635</v>
      </c>
      <c r="N67" s="241">
        <f t="shared" si="30"/>
        <v>96.03180282270755</v>
      </c>
      <c r="O67" s="241">
        <f t="shared" si="30"/>
        <v>115.00024300398468</v>
      </c>
      <c r="P67" s="241">
        <f t="shared" si="30"/>
        <v>141.26553080650626</v>
      </c>
      <c r="Q67" s="241">
        <f t="shared" si="30"/>
        <v>168.56316940804294</v>
      </c>
      <c r="R67" s="241">
        <f t="shared" si="30"/>
        <v>196.98787673510236</v>
      </c>
      <c r="S67" s="241">
        <f t="shared" si="30"/>
        <v>226.58290257294408</v>
      </c>
      <c r="T67" s="241">
        <f t="shared" si="30"/>
        <v>257.4025089044742</v>
      </c>
      <c r="U67" s="241">
        <f t="shared" si="30"/>
        <v>289.4911852848556</v>
      </c>
      <c r="V67" s="241">
        <f>SUM(V38:V66)</f>
        <v>322.90575254083046</v>
      </c>
      <c r="W67" s="241">
        <f t="shared" si="30"/>
        <v>357.7060471917528</v>
      </c>
      <c r="X67" s="241">
        <f t="shared" si="30"/>
        <v>393.93889539919195</v>
      </c>
      <c r="Y67" s="241">
        <f t="shared" si="30"/>
        <v>431.668136432556</v>
      </c>
      <c r="Z67" s="241">
        <f t="shared" si="30"/>
        <v>470.9547727527288</v>
      </c>
      <c r="AA67" s="241">
        <f t="shared" si="30"/>
        <v>511.8625907642429</v>
      </c>
      <c r="AB67" s="241">
        <f t="shared" si="30"/>
        <v>558.7601663321927</v>
      </c>
      <c r="AC67" s="241">
        <f t="shared" si="30"/>
        <v>611.9855262224821</v>
      </c>
      <c r="AD67" s="241">
        <f t="shared" si="30"/>
        <v>667.409039748921</v>
      </c>
      <c r="AE67" s="241">
        <f t="shared" si="30"/>
        <v>725.1204250759462</v>
      </c>
      <c r="AF67" s="241">
        <f>SUM(AF38:AF66)</f>
        <v>790.2704140751482</v>
      </c>
    </row>
    <row r="68" spans="1:32" s="16" customFormat="1" ht="15">
      <c r="A68" s="204" t="s">
        <v>149</v>
      </c>
      <c r="B68" s="186"/>
      <c r="C68" s="241">
        <f aca="true" t="shared" si="31" ref="C68:AF68">C67+C34</f>
        <v>50.4</v>
      </c>
      <c r="D68" s="241">
        <f t="shared" si="31"/>
        <v>59.56666666666666</v>
      </c>
      <c r="E68" s="241">
        <f t="shared" si="31"/>
        <v>76.20469642666667</v>
      </c>
      <c r="F68" s="241">
        <f t="shared" si="31"/>
        <v>94.33094092666667</v>
      </c>
      <c r="G68" s="241">
        <f t="shared" si="31"/>
        <v>107.3359399698474</v>
      </c>
      <c r="H68" s="241">
        <f t="shared" si="31"/>
        <v>111.86526817094699</v>
      </c>
      <c r="I68" s="241">
        <f t="shared" si="31"/>
        <v>116.72088374642269</v>
      </c>
      <c r="J68" s="241">
        <f t="shared" si="31"/>
        <v>121.88607790250498</v>
      </c>
      <c r="K68" s="241">
        <f t="shared" si="31"/>
        <v>127.42571120199656</v>
      </c>
      <c r="L68" s="241">
        <f t="shared" si="31"/>
        <v>133.3239299097747</v>
      </c>
      <c r="M68" s="241">
        <f t="shared" si="31"/>
        <v>139.64932845875634</v>
      </c>
      <c r="N68" s="241">
        <f t="shared" si="31"/>
        <v>146.43180282270754</v>
      </c>
      <c r="O68" s="241">
        <f t="shared" si="31"/>
        <v>165.40024300398468</v>
      </c>
      <c r="P68" s="241">
        <f t="shared" si="31"/>
        <v>191.66553080650627</v>
      </c>
      <c r="Q68" s="241">
        <f t="shared" si="31"/>
        <v>218.96316940804294</v>
      </c>
      <c r="R68" s="241">
        <f t="shared" si="31"/>
        <v>247.38787673510237</v>
      </c>
      <c r="S68" s="241">
        <f t="shared" si="31"/>
        <v>276.98290257294406</v>
      </c>
      <c r="T68" s="241">
        <f t="shared" si="31"/>
        <v>307.80250890447417</v>
      </c>
      <c r="U68" s="241">
        <f t="shared" si="31"/>
        <v>339.89118528485557</v>
      </c>
      <c r="V68" s="241">
        <f t="shared" si="31"/>
        <v>373.30575254083044</v>
      </c>
      <c r="W68" s="241">
        <f t="shared" si="31"/>
        <v>408.1060471917528</v>
      </c>
      <c r="X68" s="241">
        <f t="shared" si="31"/>
        <v>444.3388953991919</v>
      </c>
      <c r="Y68" s="241">
        <f t="shared" si="31"/>
        <v>482.068136432556</v>
      </c>
      <c r="Z68" s="241">
        <f t="shared" si="31"/>
        <v>521.3547727527288</v>
      </c>
      <c r="AA68" s="241">
        <f t="shared" si="31"/>
        <v>562.2625907642429</v>
      </c>
      <c r="AB68" s="241">
        <f t="shared" si="31"/>
        <v>609.1601663321927</v>
      </c>
      <c r="AC68" s="241">
        <f t="shared" si="31"/>
        <v>662.3855262224821</v>
      </c>
      <c r="AD68" s="241">
        <f t="shared" si="31"/>
        <v>717.809039748921</v>
      </c>
      <c r="AE68" s="241">
        <f t="shared" si="31"/>
        <v>775.5204250759462</v>
      </c>
      <c r="AF68" s="241">
        <f t="shared" si="31"/>
        <v>840.6704140751482</v>
      </c>
    </row>
    <row r="69" spans="1:32" s="236" customFormat="1" ht="15">
      <c r="A69" s="6" t="s">
        <v>34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</row>
    <row r="70" spans="1:32" s="16" customFormat="1" ht="15">
      <c r="A70" s="99" t="s">
        <v>11</v>
      </c>
      <c r="B70" s="242">
        <f>'конкурсная документация'!B43</f>
        <v>1500</v>
      </c>
      <c r="C70" s="241">
        <f aca="true" t="shared" si="32" ref="C70:AF70">C14+C15+C16+C21+C28+C68</f>
        <v>1852.5493091074309</v>
      </c>
      <c r="D70" s="241">
        <f t="shared" si="32"/>
        <v>2197.968814290645</v>
      </c>
      <c r="E70" s="241">
        <f t="shared" si="32"/>
        <v>2414.9425495690944</v>
      </c>
      <c r="F70" s="241">
        <f t="shared" si="32"/>
        <v>2232.8443873344295</v>
      </c>
      <c r="G70" s="241">
        <f t="shared" si="32"/>
        <v>2354.0929134179605</v>
      </c>
      <c r="H70" s="241">
        <f t="shared" si="32"/>
        <v>2488.12272296208</v>
      </c>
      <c r="I70" s="241">
        <f t="shared" si="32"/>
        <v>2631.8246406099934</v>
      </c>
      <c r="J70" s="241">
        <f t="shared" si="32"/>
        <v>2765.519039012772</v>
      </c>
      <c r="K70" s="241">
        <f t="shared" si="32"/>
        <v>2904.4596063596505</v>
      </c>
      <c r="L70" s="241">
        <f t="shared" si="32"/>
        <v>3032.7171849882675</v>
      </c>
      <c r="M70" s="241">
        <f t="shared" si="32"/>
        <v>3169.1910462448454</v>
      </c>
      <c r="N70" s="241">
        <f t="shared" si="32"/>
        <v>3618.977127132757</v>
      </c>
      <c r="O70" s="241">
        <f t="shared" si="32"/>
        <v>3949.426005868585</v>
      </c>
      <c r="P70" s="241">
        <f t="shared" si="32"/>
        <v>4160.257872405323</v>
      </c>
      <c r="Q70" s="241">
        <f t="shared" si="32"/>
        <v>4354.999258021947</v>
      </c>
      <c r="R70" s="241">
        <f t="shared" si="32"/>
        <v>4530.83950959672</v>
      </c>
      <c r="S70" s="241">
        <f t="shared" si="32"/>
        <v>4714.3961908333395</v>
      </c>
      <c r="T70" s="241">
        <f t="shared" si="32"/>
        <v>4925.574758408161</v>
      </c>
      <c r="U70" s="241">
        <f t="shared" si="32"/>
        <v>5189.713610295343</v>
      </c>
      <c r="V70" s="241">
        <f t="shared" si="32"/>
        <v>5460.743865175154</v>
      </c>
      <c r="W70" s="241">
        <f t="shared" si="32"/>
        <v>5744.482270521099</v>
      </c>
      <c r="X70" s="241">
        <f t="shared" si="32"/>
        <v>6041.540535984147</v>
      </c>
      <c r="Y70" s="241">
        <f t="shared" si="32"/>
        <v>6359.132130533839</v>
      </c>
      <c r="Z70" s="241">
        <f t="shared" si="32"/>
        <v>6689.029886623027</v>
      </c>
      <c r="AA70" s="241">
        <f t="shared" si="32"/>
        <v>7135.91511214005</v>
      </c>
      <c r="AB70" s="241">
        <f t="shared" si="32"/>
        <v>7619.644387386498</v>
      </c>
      <c r="AC70" s="241">
        <f t="shared" si="32"/>
        <v>8023.753953788875</v>
      </c>
      <c r="AD70" s="241">
        <f t="shared" si="32"/>
        <v>8446.774228286598</v>
      </c>
      <c r="AE70" s="241">
        <f t="shared" si="32"/>
        <v>9019.404155046806</v>
      </c>
      <c r="AF70" s="241">
        <f t="shared" si="32"/>
        <v>9500.148549047564</v>
      </c>
    </row>
    <row r="71" spans="1:32" s="16" customFormat="1" ht="15">
      <c r="A71" s="99" t="s">
        <v>12</v>
      </c>
      <c r="B71" s="202"/>
      <c r="C71" s="210">
        <f>(C70-B70)/B70</f>
        <v>0.23503287273828724</v>
      </c>
      <c r="D71" s="210">
        <f>(D70-C70)/C70</f>
        <v>0.18645630833418358</v>
      </c>
      <c r="E71" s="210">
        <f>(E70-D70)/D70</f>
        <v>0.09871556587506633</v>
      </c>
      <c r="F71" s="210">
        <f>(F70-E70)/E70</f>
        <v>-0.07540475953233637</v>
      </c>
      <c r="G71" s="210">
        <f>(G70-F70)/F70</f>
        <v>0.05430227326691475</v>
      </c>
      <c r="H71" s="210">
        <f aca="true" t="shared" si="33" ref="H71:V71">(H70-G70)/G70</f>
        <v>0.05693480014326135</v>
      </c>
      <c r="I71" s="210">
        <f t="shared" si="33"/>
        <v>0.05775515665756151</v>
      </c>
      <c r="J71" s="210">
        <f t="shared" si="33"/>
        <v>0.05079912861207627</v>
      </c>
      <c r="K71" s="210">
        <f t="shared" si="33"/>
        <v>0.05024032211923492</v>
      </c>
      <c r="L71" s="210">
        <f t="shared" si="33"/>
        <v>0.04415884398866564</v>
      </c>
      <c r="M71" s="210">
        <f t="shared" si="33"/>
        <v>0.04500052360045763</v>
      </c>
      <c r="N71" s="210">
        <f t="shared" si="33"/>
        <v>0.14192457138892275</v>
      </c>
      <c r="O71" s="210">
        <f t="shared" si="33"/>
        <v>0.09131002134783765</v>
      </c>
      <c r="P71" s="210">
        <f t="shared" si="33"/>
        <v>0.05338291342171132</v>
      </c>
      <c r="Q71" s="210">
        <f t="shared" si="33"/>
        <v>0.04680993140072614</v>
      </c>
      <c r="R71" s="210">
        <f t="shared" si="33"/>
        <v>0.040376643291241375</v>
      </c>
      <c r="S71" s="210">
        <f t="shared" si="33"/>
        <v>0.04051273077491054</v>
      </c>
      <c r="T71" s="210">
        <f t="shared" si="33"/>
        <v>0.044794403997151656</v>
      </c>
      <c r="U71" s="210">
        <f t="shared" si="33"/>
        <v>0.0536259959177933</v>
      </c>
      <c r="V71" s="210">
        <f t="shared" si="33"/>
        <v>0.052224510875155346</v>
      </c>
      <c r="W71" s="210">
        <f aca="true" t="shared" si="34" ref="W71:AF71">(W70-V70)/V70</f>
        <v>0.0519596619712257</v>
      </c>
      <c r="X71" s="210">
        <f t="shared" si="34"/>
        <v>0.05171193007026218</v>
      </c>
      <c r="Y71" s="210">
        <f t="shared" si="34"/>
        <v>0.052567982066507334</v>
      </c>
      <c r="Z71" s="210">
        <f t="shared" si="34"/>
        <v>0.05187779547859366</v>
      </c>
      <c r="AA71" s="210">
        <f t="shared" si="34"/>
        <v>0.06680867526256999</v>
      </c>
      <c r="AB71" s="210">
        <f t="shared" si="34"/>
        <v>0.0677879806086116</v>
      </c>
      <c r="AC71" s="210">
        <f t="shared" si="34"/>
        <v>0.05303522656140447</v>
      </c>
      <c r="AD71" s="210">
        <f t="shared" si="34"/>
        <v>0.052720992808854755</v>
      </c>
      <c r="AE71" s="210">
        <f t="shared" si="34"/>
        <v>0.06779273498782318</v>
      </c>
      <c r="AF71" s="210">
        <f t="shared" si="34"/>
        <v>0.053301125632756734</v>
      </c>
    </row>
    <row r="72" spans="1:32" s="16" customFormat="1" ht="15">
      <c r="A72" s="99" t="s">
        <v>103</v>
      </c>
      <c r="B72" s="194">
        <f>'конкурсная документация'!B44</f>
        <v>115</v>
      </c>
      <c r="C72" s="194">
        <f>'конкурсная документация'!C44</f>
        <v>117.4</v>
      </c>
      <c r="D72" s="194">
        <f>'конкурсная документация'!D44</f>
        <v>117.4</v>
      </c>
      <c r="E72" s="194">
        <f>'конкурсная документация'!E44</f>
        <v>117.4</v>
      </c>
      <c r="F72" s="194">
        <f>'конкурсная документация'!F44</f>
        <v>117.4</v>
      </c>
      <c r="G72" s="194">
        <f>'конкурсная документация'!G44</f>
        <v>121.5</v>
      </c>
      <c r="H72" s="194">
        <f>'конкурсная документация'!H44</f>
        <v>125.8</v>
      </c>
      <c r="I72" s="194">
        <f>'конкурсная документация'!I44</f>
        <v>130.3</v>
      </c>
      <c r="J72" s="194">
        <f>'конкурсная документация'!J44</f>
        <v>134.9</v>
      </c>
      <c r="K72" s="194">
        <f>'конкурсная документация'!K44</f>
        <v>139.7</v>
      </c>
      <c r="L72" s="194">
        <f>'конкурсная документация'!L44</f>
        <v>144.7</v>
      </c>
      <c r="M72" s="194">
        <f>'конкурсная документация'!M44</f>
        <v>149.8</v>
      </c>
      <c r="N72" s="194">
        <f>'конкурсная документация'!N44</f>
        <v>149.8</v>
      </c>
      <c r="O72" s="194">
        <f>'конкурсная документация'!O44</f>
        <v>149.8</v>
      </c>
      <c r="P72" s="194">
        <f>'конкурсная документация'!P44</f>
        <v>149.8</v>
      </c>
      <c r="Q72" s="194">
        <f>'конкурсная документация'!Q44</f>
        <v>149.8</v>
      </c>
      <c r="R72" s="194">
        <f>'конкурсная документация'!R44</f>
        <v>149.8</v>
      </c>
      <c r="S72" s="194">
        <f>'конкурсная документация'!S44</f>
        <v>149.8</v>
      </c>
      <c r="T72" s="194">
        <f>'конкурсная документация'!T44</f>
        <v>149.8</v>
      </c>
      <c r="U72" s="194">
        <f>'конкурсная документация'!U44</f>
        <v>149.8</v>
      </c>
      <c r="V72" s="194">
        <f>'конкурсная документация'!V44</f>
        <v>149.8</v>
      </c>
      <c r="W72" s="194">
        <f>'конкурсная документация'!W44</f>
        <v>149.8</v>
      </c>
      <c r="X72" s="194">
        <f>'конкурсная документация'!X44</f>
        <v>149.8</v>
      </c>
      <c r="Y72" s="194">
        <f>'конкурсная документация'!Y44</f>
        <v>149.8</v>
      </c>
      <c r="Z72" s="194">
        <f>'конкурсная документация'!Z44</f>
        <v>149.8</v>
      </c>
      <c r="AA72" s="194">
        <f>'конкурсная документация'!AA44</f>
        <v>149.8</v>
      </c>
      <c r="AB72" s="194">
        <f>'конкурсная документация'!AB44</f>
        <v>149.8</v>
      </c>
      <c r="AC72" s="194">
        <f>'конкурсная документация'!AC44</f>
        <v>149.8</v>
      </c>
      <c r="AD72" s="194">
        <f>'конкурсная документация'!AD44</f>
        <v>149.8</v>
      </c>
      <c r="AE72" s="194">
        <f>'конкурсная документация'!AE44</f>
        <v>149.8</v>
      </c>
      <c r="AF72" s="194">
        <f>'конкурсная документация'!AF44</f>
        <v>149.8</v>
      </c>
    </row>
    <row r="73" spans="1:32" s="16" customFormat="1" ht="14.25" customHeight="1">
      <c r="A73" s="99" t="s">
        <v>24</v>
      </c>
      <c r="B73" s="198">
        <f>B70*1000/B72</f>
        <v>13043.478260869566</v>
      </c>
      <c r="C73" s="198">
        <f>C70*1000/C72</f>
        <v>15779.806721528372</v>
      </c>
      <c r="D73" s="198">
        <f aca="true" t="shared" si="35" ref="D73:AF73">D70*1000/D72</f>
        <v>18722.051229051485</v>
      </c>
      <c r="E73" s="198">
        <f t="shared" si="35"/>
        <v>20570.209110469288</v>
      </c>
      <c r="F73" s="198">
        <f t="shared" si="35"/>
        <v>19019.117438964477</v>
      </c>
      <c r="G73" s="198">
        <f t="shared" si="35"/>
        <v>19375.250316197205</v>
      </c>
      <c r="H73" s="198">
        <f t="shared" si="35"/>
        <v>19778.400023545946</v>
      </c>
      <c r="I73" s="198">
        <f t="shared" si="35"/>
        <v>20198.193711511845</v>
      </c>
      <c r="J73" s="198">
        <f t="shared" si="35"/>
        <v>20500.511779190303</v>
      </c>
      <c r="K73" s="198">
        <f t="shared" si="35"/>
        <v>20790.691527270228</v>
      </c>
      <c r="L73" s="198">
        <f t="shared" si="35"/>
        <v>20958.65366266944</v>
      </c>
      <c r="M73" s="198">
        <f t="shared" si="35"/>
        <v>21156.148506307378</v>
      </c>
      <c r="N73" s="198">
        <f t="shared" si="35"/>
        <v>24158.72581530545</v>
      </c>
      <c r="O73" s="198">
        <f t="shared" si="35"/>
        <v>26364.659585237547</v>
      </c>
      <c r="P73" s="198">
        <f t="shared" si="35"/>
        <v>27772.081925269176</v>
      </c>
      <c r="Q73" s="198">
        <f t="shared" si="35"/>
        <v>29072.091175046375</v>
      </c>
      <c r="R73" s="198">
        <f t="shared" si="35"/>
        <v>30245.92463015166</v>
      </c>
      <c r="S73" s="198">
        <f t="shared" si="35"/>
        <v>31471.269631731237</v>
      </c>
      <c r="T73" s="198">
        <f t="shared" si="35"/>
        <v>32881.006397918296</v>
      </c>
      <c r="U73" s="198">
        <f t="shared" si="35"/>
        <v>34644.283112786</v>
      </c>
      <c r="V73" s="198">
        <f t="shared" si="35"/>
        <v>36453.563852971645</v>
      </c>
      <c r="W73" s="198">
        <f t="shared" si="35"/>
        <v>38347.67870841855</v>
      </c>
      <c r="X73" s="198">
        <f t="shared" si="35"/>
        <v>40330.71118814517</v>
      </c>
      <c r="Y73" s="198">
        <f t="shared" si="35"/>
        <v>42450.81529061307</v>
      </c>
      <c r="Z73" s="198">
        <f t="shared" si="35"/>
        <v>44653.07000415905</v>
      </c>
      <c r="AA73" s="198">
        <f t="shared" si="35"/>
        <v>47636.28245754372</v>
      </c>
      <c r="AB73" s="198">
        <f t="shared" si="35"/>
        <v>50865.44984904204</v>
      </c>
      <c r="AC73" s="198">
        <f t="shared" si="35"/>
        <v>53563.11050593374</v>
      </c>
      <c r="AD73" s="198">
        <f t="shared" si="35"/>
        <v>56387.010869736965</v>
      </c>
      <c r="AE73" s="198">
        <f t="shared" si="35"/>
        <v>60209.64055438455</v>
      </c>
      <c r="AF73" s="198">
        <f t="shared" si="35"/>
        <v>63418.88216987693</v>
      </c>
    </row>
    <row r="74" spans="1:32" s="16" customFormat="1" ht="15">
      <c r="A74" s="99" t="s">
        <v>13</v>
      </c>
      <c r="B74" s="180"/>
      <c r="C74" s="243">
        <f>(C73-B73)/B73</f>
        <v>0.20978518198384177</v>
      </c>
      <c r="D74" s="243">
        <f>(D73-C73)/C73</f>
        <v>0.1864563083341834</v>
      </c>
      <c r="E74" s="243">
        <f>(E73-D73)/D73</f>
        <v>0.09871556587506657</v>
      </c>
      <c r="F74" s="243">
        <f>(F73-E73)/E73</f>
        <v>-0.07540475953233637</v>
      </c>
      <c r="G74" s="243">
        <f>(G73-F73)/F73</f>
        <v>0.018724994909759544</v>
      </c>
      <c r="H74" s="243">
        <f aca="true" t="shared" si="36" ref="H74:U74">(H73-G73)/G73</f>
        <v>0.0208074580079989</v>
      </c>
      <c r="I74" s="243">
        <f t="shared" si="36"/>
        <v>0.021224855775297286</v>
      </c>
      <c r="J74" s="243">
        <f t="shared" si="36"/>
        <v>0.014967579378454682</v>
      </c>
      <c r="K74" s="243">
        <f t="shared" si="36"/>
        <v>0.014154756291229824</v>
      </c>
      <c r="L74" s="243">
        <f t="shared" si="36"/>
        <v>0.008078718073369665</v>
      </c>
      <c r="M74" s="243">
        <f t="shared" si="36"/>
        <v>0.009423069192164124</v>
      </c>
      <c r="N74" s="243">
        <f t="shared" si="36"/>
        <v>0.14192457138892273</v>
      </c>
      <c r="O74" s="243">
        <f t="shared" si="36"/>
        <v>0.09131002134783764</v>
      </c>
      <c r="P74" s="243">
        <f t="shared" si="36"/>
        <v>0.0533829134217114</v>
      </c>
      <c r="Q74" s="243">
        <f t="shared" si="36"/>
        <v>0.04680993140072621</v>
      </c>
      <c r="R74" s="243">
        <f t="shared" si="36"/>
        <v>0.04037664329124113</v>
      </c>
      <c r="S74" s="243">
        <f t="shared" si="36"/>
        <v>0.040512730774910716</v>
      </c>
      <c r="T74" s="243">
        <f t="shared" si="36"/>
        <v>0.04479440399715166</v>
      </c>
      <c r="U74" s="243">
        <f t="shared" si="36"/>
        <v>0.05362599591779328</v>
      </c>
      <c r="V74" s="243">
        <f aca="true" t="shared" si="37" ref="V74:AF74">(V73-U73)/U73</f>
        <v>0.0522245108751552</v>
      </c>
      <c r="W74" s="243">
        <f t="shared" si="37"/>
        <v>0.05195966197122584</v>
      </c>
      <c r="X74" s="243">
        <f t="shared" si="37"/>
        <v>0.05171193007026219</v>
      </c>
      <c r="Y74" s="243">
        <f t="shared" si="37"/>
        <v>0.05256798206650728</v>
      </c>
      <c r="Z74" s="243">
        <f t="shared" si="37"/>
        <v>0.05187779547859369</v>
      </c>
      <c r="AA74" s="243">
        <f t="shared" si="37"/>
        <v>0.06680867526256995</v>
      </c>
      <c r="AB74" s="243">
        <f t="shared" si="37"/>
        <v>0.0677879806086116</v>
      </c>
      <c r="AC74" s="243">
        <f t="shared" si="37"/>
        <v>0.053035226561404546</v>
      </c>
      <c r="AD74" s="243">
        <f t="shared" si="37"/>
        <v>0.05272099280885471</v>
      </c>
      <c r="AE74" s="243">
        <f t="shared" si="37"/>
        <v>0.06779273498782315</v>
      </c>
      <c r="AF74" s="243">
        <f t="shared" si="37"/>
        <v>0.053301125632756886</v>
      </c>
    </row>
    <row r="75" spans="1:23" s="91" customFormat="1" ht="15">
      <c r="A75" s="5" t="s">
        <v>44</v>
      </c>
      <c r="B75" s="8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0"/>
    </row>
    <row r="76" spans="1:32" s="16" customFormat="1" ht="15">
      <c r="A76" s="226" t="s">
        <v>46</v>
      </c>
      <c r="B76" s="191"/>
      <c r="C76" s="220">
        <f>SUM(C77:C80)</f>
        <v>1880.0493091074309</v>
      </c>
      <c r="D76" s="220">
        <f aca="true" t="shared" si="38" ref="D76:AE76">SUM(D77:D80)</f>
        <v>2228.4386898556186</v>
      </c>
      <c r="E76" s="220">
        <f t="shared" si="38"/>
        <v>2446.99654927422</v>
      </c>
      <c r="F76" s="220">
        <f t="shared" si="38"/>
        <v>2267.142167018914</v>
      </c>
      <c r="G76" s="220">
        <f t="shared" si="38"/>
        <v>2390.7915376803585</v>
      </c>
      <c r="H76" s="220">
        <f t="shared" si="38"/>
        <v>2527.390250922846</v>
      </c>
      <c r="I76" s="220">
        <f t="shared" si="38"/>
        <v>2673.840895528013</v>
      </c>
      <c r="J76" s="220">
        <f t="shared" si="38"/>
        <v>2810.476431775053</v>
      </c>
      <c r="K76" s="220">
        <f t="shared" si="38"/>
        <v>2952.564016615291</v>
      </c>
      <c r="L76" s="220">
        <f t="shared" si="38"/>
        <v>3084.1889039618027</v>
      </c>
      <c r="M76" s="220">
        <f t="shared" si="38"/>
        <v>3224.2657855465286</v>
      </c>
      <c r="N76" s="220">
        <f t="shared" si="38"/>
        <v>3677.9070981855575</v>
      </c>
      <c r="O76" s="220">
        <f t="shared" si="38"/>
        <v>4012.4810748950817</v>
      </c>
      <c r="P76" s="220">
        <f t="shared" si="38"/>
        <v>4227.726796263674</v>
      </c>
      <c r="Q76" s="220">
        <f t="shared" si="38"/>
        <v>4427.1910065503835</v>
      </c>
      <c r="R76" s="220">
        <f t="shared" si="38"/>
        <v>4608.084680522147</v>
      </c>
      <c r="S76" s="220">
        <f t="shared" si="38"/>
        <v>4797.048523723546</v>
      </c>
      <c r="T76" s="220">
        <f t="shared" si="38"/>
        <v>5014.0127546006825</v>
      </c>
      <c r="U76" s="220">
        <f t="shared" si="38"/>
        <v>5284.342266221341</v>
      </c>
      <c r="V76" s="220">
        <f t="shared" si="38"/>
        <v>5561.996527015971</v>
      </c>
      <c r="W76" s="220">
        <f t="shared" si="38"/>
        <v>5852.822618690773</v>
      </c>
      <c r="X76" s="220">
        <f t="shared" si="38"/>
        <v>6157.464708525699</v>
      </c>
      <c r="Y76" s="220">
        <f t="shared" si="38"/>
        <v>6483.170995153299</v>
      </c>
      <c r="Z76" s="220">
        <f t="shared" si="38"/>
        <v>6821.75147176585</v>
      </c>
      <c r="AA76" s="220">
        <f t="shared" si="38"/>
        <v>7277.927208242871</v>
      </c>
      <c r="AB76" s="220">
        <f t="shared" si="38"/>
        <v>7771.597330216517</v>
      </c>
      <c r="AC76" s="220">
        <f t="shared" si="38"/>
        <v>8186.343602616995</v>
      </c>
      <c r="AD76" s="220">
        <f t="shared" si="38"/>
        <v>8620.745152532687</v>
      </c>
      <c r="AE76" s="220">
        <f t="shared" si="38"/>
        <v>9205.553043990121</v>
      </c>
      <c r="AF76" s="220">
        <f>SUM(AF77:AF80)</f>
        <v>9699.32786021691</v>
      </c>
    </row>
    <row r="77" spans="1:32" s="16" customFormat="1" ht="18" customHeight="1">
      <c r="A77" s="227" t="s">
        <v>41</v>
      </c>
      <c r="B77" s="191"/>
      <c r="C77" s="220">
        <f>C70</f>
        <v>1852.5493091074309</v>
      </c>
      <c r="D77" s="220">
        <f aca="true" t="shared" si="39" ref="D77:AF77">D70</f>
        <v>2197.968814290645</v>
      </c>
      <c r="E77" s="220">
        <f t="shared" si="39"/>
        <v>2414.9425495690944</v>
      </c>
      <c r="F77" s="220">
        <f t="shared" si="39"/>
        <v>2232.8443873344295</v>
      </c>
      <c r="G77" s="220">
        <f t="shared" si="39"/>
        <v>2354.0929134179605</v>
      </c>
      <c r="H77" s="220">
        <f t="shared" si="39"/>
        <v>2488.12272296208</v>
      </c>
      <c r="I77" s="220">
        <f t="shared" si="39"/>
        <v>2631.8246406099934</v>
      </c>
      <c r="J77" s="220">
        <f t="shared" si="39"/>
        <v>2765.519039012772</v>
      </c>
      <c r="K77" s="220">
        <f t="shared" si="39"/>
        <v>2904.4596063596505</v>
      </c>
      <c r="L77" s="220">
        <f t="shared" si="39"/>
        <v>3032.7171849882675</v>
      </c>
      <c r="M77" s="220">
        <f t="shared" si="39"/>
        <v>3169.1910462448454</v>
      </c>
      <c r="N77" s="220">
        <f t="shared" si="39"/>
        <v>3618.977127132757</v>
      </c>
      <c r="O77" s="220">
        <f t="shared" si="39"/>
        <v>3949.426005868585</v>
      </c>
      <c r="P77" s="220">
        <f t="shared" si="39"/>
        <v>4160.257872405323</v>
      </c>
      <c r="Q77" s="220">
        <f t="shared" si="39"/>
        <v>4354.999258021947</v>
      </c>
      <c r="R77" s="220">
        <f t="shared" si="39"/>
        <v>4530.83950959672</v>
      </c>
      <c r="S77" s="220">
        <f t="shared" si="39"/>
        <v>4714.3961908333395</v>
      </c>
      <c r="T77" s="220">
        <f t="shared" si="39"/>
        <v>4925.574758408161</v>
      </c>
      <c r="U77" s="220">
        <f t="shared" si="39"/>
        <v>5189.713610295343</v>
      </c>
      <c r="V77" s="220">
        <f t="shared" si="39"/>
        <v>5460.743865175154</v>
      </c>
      <c r="W77" s="220">
        <f t="shared" si="39"/>
        <v>5744.482270521099</v>
      </c>
      <c r="X77" s="220">
        <f t="shared" si="39"/>
        <v>6041.540535984147</v>
      </c>
      <c r="Y77" s="220">
        <f t="shared" si="39"/>
        <v>6359.132130533839</v>
      </c>
      <c r="Z77" s="220">
        <f t="shared" si="39"/>
        <v>6689.029886623027</v>
      </c>
      <c r="AA77" s="220">
        <f t="shared" si="39"/>
        <v>7135.91511214005</v>
      </c>
      <c r="AB77" s="220">
        <f t="shared" si="39"/>
        <v>7619.644387386498</v>
      </c>
      <c r="AC77" s="220">
        <f t="shared" si="39"/>
        <v>8023.753953788875</v>
      </c>
      <c r="AD77" s="220">
        <f t="shared" si="39"/>
        <v>8446.774228286598</v>
      </c>
      <c r="AE77" s="220">
        <f t="shared" si="39"/>
        <v>9019.404155046806</v>
      </c>
      <c r="AF77" s="220">
        <f t="shared" si="39"/>
        <v>9500.148549047564</v>
      </c>
    </row>
    <row r="78" spans="1:32" s="170" customFormat="1" ht="78.75" customHeight="1">
      <c r="A78" s="228" t="s">
        <v>228</v>
      </c>
      <c r="B78" s="218"/>
      <c r="C78" s="221">
        <f>IF('основные условия'!$J$10=1,'конкурсные предложения'!B15,'конкурсные предложения'!B18)*C12</f>
        <v>0</v>
      </c>
      <c r="D78" s="221">
        <f>IF('основные условия'!$J$10=1,'конкурсные предложения'!C15,'конкурсные предложения'!C18)*D12</f>
        <v>0</v>
      </c>
      <c r="E78" s="221">
        <f>IF('основные условия'!$J$10=1,'конкурсные предложения'!D15,'конкурсные предложения'!D18)*E12</f>
        <v>0</v>
      </c>
      <c r="F78" s="221">
        <f>IF('основные условия'!$J$10=1,'конкурсные предложения'!E15,'конкурсные предложения'!E18)*F12</f>
        <v>0</v>
      </c>
      <c r="G78" s="221">
        <f>IF('основные условия'!$J$10=1,'конкурсные предложения'!F15,'конкурсные предложения'!F18)*G12</f>
        <v>0</v>
      </c>
      <c r="H78" s="221">
        <f>IF('основные условия'!$J$10=1,'конкурсные предложения'!G15,'конкурсные предложения'!G18)*H12</f>
        <v>0</v>
      </c>
      <c r="I78" s="221">
        <f>IF('основные условия'!$J$10=1,'конкурсные предложения'!H15,'конкурсные предложения'!H18)*I12</f>
        <v>0</v>
      </c>
      <c r="J78" s="221">
        <f>IF('основные условия'!$J$10=1,'конкурсные предложения'!I15,'конкурсные предложения'!I18)*J12</f>
        <v>0</v>
      </c>
      <c r="K78" s="221">
        <f>IF('основные условия'!$J$10=1,'конкурсные предложения'!J15,'конкурсные предложения'!J18)*K12</f>
        <v>0</v>
      </c>
      <c r="L78" s="221">
        <f>IF('основные условия'!$J$10=1,'конкурсные предложения'!K15,'конкурсные предложения'!K18)*L12</f>
        <v>0</v>
      </c>
      <c r="M78" s="221">
        <f>IF('основные условия'!$J$10=1,'конкурсные предложения'!L15,'конкурсные предложения'!L18)*M12</f>
        <v>0</v>
      </c>
      <c r="N78" s="221">
        <f>IF('основные условия'!$J$10=1,'конкурсные предложения'!M15,'конкурсные предложения'!M18)*N12</f>
        <v>0</v>
      </c>
      <c r="O78" s="221">
        <f>IF('основные условия'!$J$10=1,'конкурсные предложения'!N15,'конкурсные предложения'!N18)*O12</f>
        <v>0</v>
      </c>
      <c r="P78" s="221">
        <f>IF('основные условия'!$J$10=1,'конкурсные предложения'!O15,'конкурсные предложения'!O18)*P12</f>
        <v>0</v>
      </c>
      <c r="Q78" s="221">
        <f>IF('основные условия'!$J$10=1,'конкурсные предложения'!P15,'конкурсные предложения'!P18)*Q12</f>
        <v>0</v>
      </c>
      <c r="R78" s="221">
        <f>IF('основные условия'!$J$10=1,'конкурсные предложения'!Q15,'конкурсные предложения'!Q18)*R12</f>
        <v>0</v>
      </c>
      <c r="S78" s="221">
        <f>IF('основные условия'!$J$10=1,'конкурсные предложения'!R15,'конкурсные предложения'!R18)*S12</f>
        <v>0</v>
      </c>
      <c r="T78" s="221">
        <f>IF('основные условия'!$J$10=1,'конкурсные предложения'!S15,'конкурсные предложения'!S18)*T12</f>
        <v>0</v>
      </c>
      <c r="U78" s="221">
        <f>IF('основные условия'!$J$10=1,'конкурсные предложения'!T15,'конкурсные предложения'!T18)*U12</f>
        <v>0</v>
      </c>
      <c r="V78" s="221">
        <f>IF('основные условия'!$J$10=1,'конкурсные предложения'!U15,'конкурсные предложения'!U18)*V12</f>
        <v>0</v>
      </c>
      <c r="W78" s="221">
        <f>IF('основные условия'!$J$10=1,'конкурсные предложения'!V15,'конкурсные предложения'!V18)*W12</f>
        <v>0</v>
      </c>
      <c r="X78" s="221">
        <f>IF('основные условия'!$J$10=1,'конкурсные предложения'!W15,'конкурсные предложения'!W18)*X12</f>
        <v>0</v>
      </c>
      <c r="Y78" s="221">
        <f>IF('основные условия'!$J$10=1,'конкурсные предложения'!X15,'конкурсные предложения'!X18)*Y12</f>
        <v>0</v>
      </c>
      <c r="Z78" s="221">
        <f>IF('основные условия'!$J$10=1,'конкурсные предложения'!Y15,'конкурсные предложения'!Y18)*Z12</f>
        <v>0</v>
      </c>
      <c r="AA78" s="221">
        <f>IF('основные условия'!$J$10=1,'конкурсные предложения'!Z15,'конкурсные предложения'!Z18)*AA12</f>
        <v>0</v>
      </c>
      <c r="AB78" s="221">
        <f>IF('основные условия'!$J$10=1,'конкурсные предложения'!AA15,'конкурсные предложения'!AA18)*AB12</f>
        <v>0</v>
      </c>
      <c r="AC78" s="221">
        <f>IF('основные условия'!$J$10=1,'конкурсные предложения'!AB15,'конкурсные предложения'!AB18)*AC12</f>
        <v>0</v>
      </c>
      <c r="AD78" s="221">
        <f>IF('основные условия'!$J$10=1,'конкурсные предложения'!AC15,'конкурсные предложения'!AC18)*AD12</f>
        <v>0</v>
      </c>
      <c r="AE78" s="221">
        <f>IF('основные условия'!$J$10=1,'конкурсные предложения'!AD15,'конкурсные предложения'!AD18)*AE12</f>
        <v>0</v>
      </c>
      <c r="AF78" s="221">
        <f>IF('основные условия'!$J$10=1,'конкурсные предложения'!AE15,'конкурсные предложения'!AE18)*AF12</f>
        <v>0</v>
      </c>
    </row>
    <row r="79" spans="1:32" s="170" customFormat="1" ht="45.75" customHeight="1">
      <c r="A79" s="229" t="s">
        <v>229</v>
      </c>
      <c r="B79" s="218"/>
      <c r="C79" s="221">
        <f>'конкурсные предложения'!B16*C8</f>
        <v>16.5</v>
      </c>
      <c r="D79" s="221">
        <f>'конкурсные предложения'!C16*D8</f>
        <v>18.315000000000005</v>
      </c>
      <c r="E79" s="221">
        <f>'конкурсные предложения'!D16*E8</f>
        <v>19.230750000000004</v>
      </c>
      <c r="F79" s="221">
        <f>'конкурсные предложения'!E16*F8</f>
        <v>20.57690250000001</v>
      </c>
      <c r="G79" s="221">
        <f>'конкурсные предложения'!F16*G8</f>
        <v>22.01728567500001</v>
      </c>
      <c r="H79" s="221">
        <f>'конкурсные предложения'!G16*H8</f>
        <v>23.55849567225001</v>
      </c>
      <c r="I79" s="221">
        <f>'конкурсные предложения'!H16*I8</f>
        <v>25.207590369307514</v>
      </c>
      <c r="J79" s="221">
        <f>'конкурсные предложения'!I16*J8</f>
        <v>26.972121695159043</v>
      </c>
      <c r="K79" s="221">
        <f>'конкурсные предложения'!J16*K8</f>
        <v>28.860170213820176</v>
      </c>
      <c r="L79" s="221">
        <f>'конкурсные предложения'!K16*L8</f>
        <v>30.880382128787588</v>
      </c>
      <c r="M79" s="221">
        <f>'конкурсные предложения'!L16*M8</f>
        <v>33.04200887780272</v>
      </c>
      <c r="N79" s="221">
        <f>'конкурсные предложения'!M16*N8</f>
        <v>35.35494949924892</v>
      </c>
      <c r="O79" s="221">
        <f>'конкурсные предложения'!N16*O8</f>
        <v>37.82979596419634</v>
      </c>
      <c r="P79" s="221">
        <f>'конкурсные предложения'!O16*P8</f>
        <v>40.477881681690086</v>
      </c>
      <c r="Q79" s="221">
        <f>'конкурсные предложения'!P16*Q8</f>
        <v>43.3113333994084</v>
      </c>
      <c r="R79" s="221">
        <f>'конкурсные предложения'!Q16*R8</f>
        <v>46.343126737366994</v>
      </c>
      <c r="S79" s="221">
        <f>'конкурсные предложения'!R16*S8</f>
        <v>49.58714560898269</v>
      </c>
      <c r="T79" s="221">
        <f>'конкурсные предложения'!S16*T8</f>
        <v>53.05824580161148</v>
      </c>
      <c r="U79" s="221">
        <f>'конкурсные предложения'!T16*U8</f>
        <v>56.77232300772428</v>
      </c>
      <c r="V79" s="221">
        <f>'конкурсные предложения'!U16*V8</f>
        <v>60.74638561826498</v>
      </c>
      <c r="W79" s="221">
        <f>'конкурсные предложения'!V16*W8</f>
        <v>64.99863261154353</v>
      </c>
      <c r="X79" s="221">
        <f>'конкурсные предложения'!W16*X8</f>
        <v>69.54853689435157</v>
      </c>
      <c r="Y79" s="221">
        <f>'конкурсные предложения'!X16*Y8</f>
        <v>74.41693447695619</v>
      </c>
      <c r="Z79" s="221">
        <f>'конкурсные предложения'!Y16*Z8</f>
        <v>79.62611989034313</v>
      </c>
      <c r="AA79" s="221">
        <f>'конкурсные предложения'!Z16*AA8</f>
        <v>85.19994828266715</v>
      </c>
      <c r="AB79" s="221">
        <f>'конкурсные предложения'!AA16*AB8</f>
        <v>91.16394466245386</v>
      </c>
      <c r="AC79" s="221">
        <f>'конкурсные предложения'!AB16*AC8</f>
        <v>97.54542078882564</v>
      </c>
      <c r="AD79" s="221">
        <f>'конкурсные предложения'!AC16*AD8</f>
        <v>104.37360024404344</v>
      </c>
      <c r="AE79" s="221">
        <f>'конкурсные предложения'!AD16*AE8</f>
        <v>111.67975226112648</v>
      </c>
      <c r="AF79" s="221">
        <f>'конкурсные предложения'!AE16*AF8</f>
        <v>119.49733491940535</v>
      </c>
    </row>
    <row r="80" spans="1:32" s="170" customFormat="1" ht="15" customHeight="1">
      <c r="A80" s="229" t="s">
        <v>224</v>
      </c>
      <c r="B80" s="218"/>
      <c r="C80" s="221">
        <f>'конкурсные предложения'!B17*(C8*C12)^(1/2)</f>
        <v>11</v>
      </c>
      <c r="D80" s="221">
        <f>'конкурсные предложения'!C17*(D8*D12)^(1/2)</f>
        <v>12.154875564973919</v>
      </c>
      <c r="E80" s="221">
        <f>'конкурсные предложения'!D17*(E8*E12)^(1/2)</f>
        <v>12.823249705125455</v>
      </c>
      <c r="F80" s="221">
        <f>'конкурсные предложения'!E17*(F8*F12)^(1/2)</f>
        <v>13.720877184484237</v>
      </c>
      <c r="G80" s="221">
        <f>'конкурсные предложения'!F17*(G8*G12)^(1/2)</f>
        <v>14.681338587398136</v>
      </c>
      <c r="H80" s="221">
        <f>'конкурсные предложения'!G17*(H8*H12)^(1/2)</f>
        <v>15.709032288516005</v>
      </c>
      <c r="I80" s="221">
        <f>'конкурсные предложения'!H17*(I8*I12)^(1/2)</f>
        <v>16.80866454871213</v>
      </c>
      <c r="J80" s="221">
        <f>'конкурсные предложения'!I17*(J8*J12)^(1/2)</f>
        <v>17.985271067121978</v>
      </c>
      <c r="K80" s="221">
        <f>'конкурсные предложения'!J17*(K8*K12)^(1/2)</f>
        <v>19.244240041820518</v>
      </c>
      <c r="L80" s="221">
        <f>'конкурсные предложения'!K17*(L8*L12)^(1/2)</f>
        <v>20.591336844747957</v>
      </c>
      <c r="M80" s="221">
        <f>'конкурсные предложения'!L17*(M8*M12)^(1/2)</f>
        <v>22.03273042388031</v>
      </c>
      <c r="N80" s="221">
        <f>'конкурсные предложения'!M17*(N8*N12)^(1/2)</f>
        <v>23.575021553551938</v>
      </c>
      <c r="O80" s="221">
        <f>'конкурсные предложения'!N17*(O8*O12)^(1/2)</f>
        <v>25.22527306230057</v>
      </c>
      <c r="P80" s="221">
        <f>'конкурсные предложения'!O17*(P8*P12)^(1/2)</f>
        <v>26.99104217666161</v>
      </c>
      <c r="Q80" s="221">
        <f>'конкурсные предложения'!P17*(Q8*Q12)^(1/2)</f>
        <v>28.88041512902793</v>
      </c>
      <c r="R80" s="221">
        <f>'конкурсные предложения'!Q17*(R8*R12)^(1/2)</f>
        <v>30.902044188059886</v>
      </c>
      <c r="S80" s="221">
        <f>'конкурсные предложения'!R17*(S8*S12)^(1/2)</f>
        <v>33.06518728122408</v>
      </c>
      <c r="T80" s="221">
        <f>'конкурсные предложения'!S17*(T8*T12)^(1/2)</f>
        <v>35.37975039090976</v>
      </c>
      <c r="U80" s="221">
        <f>'конкурсные предложения'!T17*(U8*U12)^(1/2)</f>
        <v>37.85633291827345</v>
      </c>
      <c r="V80" s="221">
        <f>'конкурсные предложения'!U17*(V8*V12)^(1/2)</f>
        <v>40.50627622255259</v>
      </c>
      <c r="W80" s="221">
        <f>'конкурсные предложения'!V17*(W8*W12)^(1/2)</f>
        <v>43.34171555813128</v>
      </c>
      <c r="X80" s="221">
        <f>'конкурсные предложения'!W17*(X8*X12)^(1/2)</f>
        <v>46.37563564720047</v>
      </c>
      <c r="Y80" s="221">
        <f>'конкурсные предложения'!X17*(Y8*Y12)^(1/2)</f>
        <v>49.621930142504496</v>
      </c>
      <c r="Z80" s="221">
        <f>'конкурсные предложения'!Y17*(Z8*Z12)^(1/2)</f>
        <v>53.09546525247982</v>
      </c>
      <c r="AA80" s="221">
        <f>'конкурсные предложения'!Z17*(AA8*AA12)^(1/2)</f>
        <v>56.81214782015341</v>
      </c>
      <c r="AB80" s="221">
        <f>'конкурсные предложения'!AA17*(AB8*AB12)^(1/2)</f>
        <v>60.78899816756416</v>
      </c>
      <c r="AC80" s="221">
        <f>'конкурсные предложения'!AB17*(AC8*AC12)^(1/2)</f>
        <v>65.04422803929364</v>
      </c>
      <c r="AD80" s="221">
        <f>'конкурсные предложения'!AC17*(AD8*AD12)^(1/2)</f>
        <v>69.59732400204422</v>
      </c>
      <c r="AE80" s="221">
        <f>'конкурсные предложения'!AD17*(AE8*AE12)^(1/2)</f>
        <v>74.4691366821873</v>
      </c>
      <c r="AF80" s="221">
        <f>'конкурсные предложения'!AE17*(AF8*AF12)^(1/2)</f>
        <v>79.68197624994042</v>
      </c>
    </row>
    <row r="81" spans="1:32" s="16" customFormat="1" ht="15">
      <c r="A81" s="226" t="s">
        <v>44</v>
      </c>
      <c r="B81" s="191"/>
      <c r="C81" s="220">
        <f>C76/((1+'конкурсная документация'!$B$8)^(C5-1))</f>
        <v>1880.0493091074309</v>
      </c>
      <c r="D81" s="220">
        <f>D76/((1+'конкурсная документация'!$B$8)^(D5-1))</f>
        <v>2013.0430802670448</v>
      </c>
      <c r="E81" s="220">
        <f>E76/((1+'конкурсная документация'!$B$8)^(E5-1))</f>
        <v>1996.816309184813</v>
      </c>
      <c r="F81" s="220">
        <f>F76/((1+'конкурсная документация'!$B$8)^(F5-1))</f>
        <v>1671.2287259032908</v>
      </c>
      <c r="G81" s="220">
        <f>G76/((1+'конкурсная документация'!$B$8)^(G5-1))</f>
        <v>1592.0299236704707</v>
      </c>
      <c r="H81" s="220">
        <f>H76/((1+'конкурсная документация'!$B$8)^(H5-1))</f>
        <v>1520.3171742322281</v>
      </c>
      <c r="I81" s="220">
        <f>I76/((1+'конкурсная документация'!$B$8)^(I5-1))</f>
        <v>1452.947212614391</v>
      </c>
      <c r="J81" s="220">
        <f>J76/((1+'конкурсная документация'!$B$8)^(J5-1))</f>
        <v>1379.579084708257</v>
      </c>
      <c r="K81" s="220">
        <f>K76/((1+'конкурсная документация'!$B$8)^(K5-1))</f>
        <v>1309.237257181122</v>
      </c>
      <c r="L81" s="220">
        <f>L76/((1+'конкурсная документация'!$B$8)^(L5-1))</f>
        <v>1235.4136128400485</v>
      </c>
      <c r="M81" s="220">
        <f>M76/((1+'конкурсная документация'!$B$8)^(M5-1))</f>
        <v>1166.6877180030333</v>
      </c>
      <c r="N81" s="220">
        <f>N76/((1+'конкурсная документация'!$B$8)^(N5-1))</f>
        <v>1202.2005583773375</v>
      </c>
      <c r="O81" s="220">
        <f>O76/((1+'конкурсная документация'!$B$8)^(O5-1))</f>
        <v>1184.7904543637444</v>
      </c>
      <c r="P81" s="220">
        <f>P76/((1+'конкурсная документация'!$B$8)^(P5-1))</f>
        <v>1127.6851026127583</v>
      </c>
      <c r="Q81" s="220">
        <f>Q76/((1+'конкурсная документация'!$B$8)^(Q5-1))</f>
        <v>1066.7473367376351</v>
      </c>
      <c r="R81" s="220">
        <f>R76/((1+'конкурсная документация'!$B$8)^(R5-1))</f>
        <v>1003.0120212244951</v>
      </c>
      <c r="S81" s="220">
        <f>S76/((1+'конкурсная документация'!$B$8)^(S5-1))</f>
        <v>943.2182115143894</v>
      </c>
      <c r="T81" s="220">
        <f>T76/((1+'конкурсная документация'!$B$8)^(T5-1))</f>
        <v>890.5860321835215</v>
      </c>
      <c r="U81" s="220">
        <f>U76/((1+'конкурсная документация'!$B$8)^(U5-1))</f>
        <v>847.8787741356803</v>
      </c>
      <c r="V81" s="220">
        <f>V76/((1+'конкурсная документация'!$B$8)^(V5-1))</f>
        <v>806.1686707853703</v>
      </c>
      <c r="W81" s="220">
        <f>W76/((1+'конкурсная документация'!$B$8)^(W5-1))</f>
        <v>766.3249130293627</v>
      </c>
      <c r="X81" s="220">
        <f>X76/((1+'конкурсная документация'!$B$8)^(X5-1))</f>
        <v>728.28588498098</v>
      </c>
      <c r="Y81" s="220">
        <f>Y76/((1+'конкурсная документация'!$B$8)^(Y5-1))</f>
        <v>692.6914339484481</v>
      </c>
      <c r="Z81" s="220">
        <f>Z76/((1+'конкурсная документация'!$B$8)^(Z5-1))</f>
        <v>658.4163593600503</v>
      </c>
      <c r="AA81" s="220">
        <f>AA76/((1+'конкурсная документация'!$B$8)^(AA5-1))</f>
        <v>634.548477598658</v>
      </c>
      <c r="AB81" s="220">
        <f>AB76/((1+'конкурсная документация'!$B$8)^(AB5-1))</f>
        <v>612.0963199548528</v>
      </c>
      <c r="AC81" s="220">
        <f>AC76/((1+'конкурсная документация'!$B$8)^(AC5-1))</f>
        <v>582.4408491175087</v>
      </c>
      <c r="AD81" s="220">
        <f>AD76/((1+'конкурсная документация'!$B$8)^(AD5-1))</f>
        <v>554.062864377637</v>
      </c>
      <c r="AE81" s="220">
        <f>AE76/((1+'конкурсная документация'!$B$8)^(AE5-1))</f>
        <v>534.4615910768791</v>
      </c>
      <c r="AF81" s="220">
        <f>AF76/((1+'конкурсная документация'!$B$8)^(AF5-1))</f>
        <v>508.69870761483355</v>
      </c>
    </row>
    <row r="82" spans="1:32" s="66" customFormat="1" ht="21" customHeight="1">
      <c r="A82" s="62" t="s">
        <v>114</v>
      </c>
      <c r="B82" s="63"/>
      <c r="C82" s="141"/>
      <c r="D82" s="141"/>
      <c r="E82" s="141"/>
      <c r="F82" s="142"/>
      <c r="G82" s="142"/>
      <c r="H82" s="142"/>
      <c r="I82" s="142"/>
      <c r="J82" s="142"/>
      <c r="K82" s="141"/>
      <c r="L82" s="141"/>
      <c r="M82" s="141"/>
      <c r="N82" s="141"/>
      <c r="O82" s="141"/>
      <c r="P82" s="142"/>
      <c r="Q82" s="142"/>
      <c r="R82" s="142"/>
      <c r="S82" s="142"/>
      <c r="T82" s="142"/>
      <c r="U82" s="141"/>
      <c r="V82" s="141"/>
      <c r="W82" s="143"/>
      <c r="X82" s="144"/>
      <c r="Y82" s="144"/>
      <c r="Z82" s="144"/>
      <c r="AA82" s="144"/>
      <c r="AB82" s="144"/>
      <c r="AC82" s="144"/>
      <c r="AD82" s="144"/>
      <c r="AE82" s="144"/>
      <c r="AF82" s="144"/>
    </row>
    <row r="83" spans="1:32" s="170" customFormat="1" ht="60" customHeight="1">
      <c r="A83" s="230" t="s">
        <v>136</v>
      </c>
      <c r="B83" s="231"/>
      <c r="C83" s="232">
        <f>C12*'конкурсная документация'!$B$16*'конкурсная документация'!C65/1000</f>
        <v>1.32</v>
      </c>
      <c r="D83" s="232">
        <f>D12*'конкурсная документация'!$B$16*'конкурсная документация'!D65/1000</f>
        <v>1.4520000000000002</v>
      </c>
      <c r="E83" s="232">
        <f>E12*'конкурсная документация'!$B$16*'конкурсная документация'!E65/1000</f>
        <v>1.53912</v>
      </c>
      <c r="F83" s="232">
        <f>F12*'конкурсная документация'!$B$16*'конкурсная документация'!F65/1000</f>
        <v>1.6468584000000004</v>
      </c>
      <c r="G83" s="232">
        <f>G12*'конкурсная документация'!$B$16*'конкурсная документация'!G65/1000</f>
        <v>1.7621384880000006</v>
      </c>
      <c r="H83" s="232">
        <f>H12*'конкурсная документация'!$B$16*'конкурсная документация'!H65/1000</f>
        <v>1.8854881821600007</v>
      </c>
      <c r="I83" s="232">
        <f>I12*'конкурсная документация'!$B$16*'конкурсная документация'!I65/1000</f>
        <v>2.017472354911201</v>
      </c>
      <c r="J83" s="232">
        <f>J12*'конкурсная документация'!$B$16*'конкурсная документация'!J65/1000</f>
        <v>2.158695419754985</v>
      </c>
      <c r="K83" s="232">
        <f>K12*'конкурсная документация'!$B$16*'конкурсная документация'!K65/1000</f>
        <v>2.3098040991378337</v>
      </c>
      <c r="L83" s="232">
        <f>L12*'конкурсная документация'!$B$16*'конкурсная документация'!L65/1000</f>
        <v>2.4714903860774826</v>
      </c>
      <c r="M83" s="232">
        <f>M12*'конкурсная документация'!$B$16*'конкурсная документация'!M65/1000</f>
        <v>2.6444947131029064</v>
      </c>
      <c r="N83" s="232">
        <f>N12*'конкурсная документация'!$B$16*'конкурсная документация'!N65/1000</f>
        <v>2.8296093430201106</v>
      </c>
      <c r="O83" s="232">
        <f>O12*'конкурсная документация'!$B$16*'конкурсная документация'!O65/1000</f>
        <v>3.027681997031518</v>
      </c>
      <c r="P83" s="232">
        <f>P12*'конкурсная документация'!$B$16*'конкурсная документация'!P65/1000</f>
        <v>3.2396197368237245</v>
      </c>
      <c r="Q83" s="232">
        <f>Q12*'конкурсная документация'!$B$16*'конкурсная документация'!Q65/1000</f>
        <v>3.4663931184013843</v>
      </c>
      <c r="R83" s="232">
        <f>R12*'конкурсная документация'!$B$16*'конкурсная документация'!R65/1000</f>
        <v>3.709040636689483</v>
      </c>
      <c r="S83" s="232">
        <f>S12*'конкурсная документация'!$B$16*'конкурсная документация'!S65/1000</f>
        <v>3.9686734812577456</v>
      </c>
      <c r="T83" s="232">
        <f>T12*'конкурсная документация'!$B$16*'конкурсная документация'!T65/1000</f>
        <v>4.246480624945788</v>
      </c>
      <c r="U83" s="232">
        <f>U12*'конкурсная документация'!$B$16*'конкурсная документация'!U65/1000</f>
        <v>4.543734268691994</v>
      </c>
      <c r="V83" s="232">
        <f>V12*'конкурсная документация'!$B$16*'конкурсная документация'!V65/1000</f>
        <v>4.8617956675004335</v>
      </c>
      <c r="W83" s="232">
        <f>W12*'конкурсная документация'!$B$16*'конкурсная документация'!W65/1000</f>
        <v>5.202121364225463</v>
      </c>
      <c r="X83" s="232">
        <f>X12*'конкурсная документация'!$B$16*'конкурсная документация'!X65/1000</f>
        <v>5.566269859721246</v>
      </c>
      <c r="Y83" s="232">
        <f>Y12*'конкурсная документация'!$B$16*'конкурсная документация'!Y65/1000</f>
        <v>5.955908749901735</v>
      </c>
      <c r="Z83" s="232">
        <f>Z12*'конкурсная документация'!$B$16*'конкурсная документация'!Z65/1000</f>
        <v>6.372822362394856</v>
      </c>
      <c r="AA83" s="232">
        <f>AA12*'конкурсная документация'!$B$16*'конкурсная документация'!AA65/1000</f>
        <v>6.818919927762496</v>
      </c>
      <c r="AB83" s="232">
        <f>AB12*'конкурсная документация'!$B$16*'конкурсная документация'!AB65/1000</f>
        <v>7.296244322705873</v>
      </c>
      <c r="AC83" s="232">
        <f>AC12*'конкурсная документация'!$B$16*'конкурсная документация'!AC65/1000</f>
        <v>7.806981425295284</v>
      </c>
      <c r="AD83" s="232">
        <f>AD12*'конкурсная документация'!$B$16*'конкурсная документация'!AD65/1000</f>
        <v>8.353470125065954</v>
      </c>
      <c r="AE83" s="232">
        <f>AE12*'конкурсная документация'!$B$16*'конкурсная документация'!AE65/1000</f>
        <v>8.938213033820572</v>
      </c>
      <c r="AF83" s="232">
        <f>AF12*'конкурсная документация'!$B$16*'конкурсная документация'!AF65/1000</f>
        <v>9.56388794618801</v>
      </c>
    </row>
    <row r="84" spans="1:32" s="16" customFormat="1" ht="15">
      <c r="A84" s="226" t="s">
        <v>102</v>
      </c>
      <c r="B84" s="193"/>
      <c r="C84" s="195">
        <f>'конкурсные предложения'!B$25*SUM(C85,C92,C105,C109,C144)</f>
        <v>0.48200000000000004</v>
      </c>
      <c r="D84" s="195">
        <f>'конкурсные предложения'!C$25*SUM(D85,D92,D105,D109,D144)</f>
        <v>2.2274015000000005</v>
      </c>
      <c r="E84" s="195">
        <f>'конкурсные предложения'!D$25*SUM(E85,E92,E105,E109,E144)</f>
        <v>5.263240101150001</v>
      </c>
      <c r="F84" s="195">
        <f>'конкурсные предложения'!E$25*SUM(F85,F92,F105,F109,F144)</f>
        <v>7.223776320000001</v>
      </c>
      <c r="G84" s="195">
        <f>'конкурсные предложения'!F$25*SUM(G85,G92,G105,G109,G144)</f>
        <v>9.397224246936002</v>
      </c>
      <c r="H84" s="195">
        <f>'конкурсные предложения'!G$25*SUM(H85,H92,H105,H109,H144)</f>
        <v>11.722500044320508</v>
      </c>
      <c r="I84" s="195">
        <f>'конкурсные предложения'!H$25*SUM(I85,I92,I105,I109,I144)</f>
        <v>14.2102130734578</v>
      </c>
      <c r="J84" s="195">
        <f>'конкурсные предложения'!I$25*SUM(J85,J92,J105,J109,J144)</f>
        <v>16.871714248578566</v>
      </c>
      <c r="K84" s="195">
        <f>'конкурсные предложения'!J$25*SUM(K85,K92,K105,K109,K144)</f>
        <v>19.753108895266383</v>
      </c>
      <c r="L84" s="195">
        <f>'конкурсные предложения'!K$25*SUM(L85,L92,L105,L109,L144)</f>
        <v>22.8014820467768</v>
      </c>
      <c r="M84" s="195">
        <f>'конкурсные предложения'!L$25*SUM(M85,M92,M105,M109,M144)</f>
        <v>26.06280164075326</v>
      </c>
      <c r="N84" s="195">
        <f>'конкурсные предложения'!M$25*SUM(N85,N92,N105,N109,N144)</f>
        <v>30.653348151181465</v>
      </c>
      <c r="O84" s="195">
        <f>'конкурсные предложения'!N$25*SUM(O85,O92,O105,O109,O144)</f>
        <v>35.56473954724881</v>
      </c>
      <c r="P84" s="195">
        <f>'конкурсные предложения'!O$25*SUM(P85,P92,P105,P109,P144)</f>
        <v>40.86703779459707</v>
      </c>
      <c r="Q84" s="195">
        <f>'конкурсные предложения'!P$25*SUM(Q85,Q92,Q105,Q109,Q144)</f>
        <v>46.49180155679042</v>
      </c>
      <c r="R84" s="195">
        <f>'конкурсные предложения'!Q$25*SUM(R85,R92,R105,R109,R144)</f>
        <v>52.50968211100154</v>
      </c>
      <c r="S84" s="195">
        <f>'конкурсные предложения'!R$25*SUM(S85,S92,S105,S109,S144)</f>
        <v>58.94816106406147</v>
      </c>
      <c r="T84" s="195">
        <f>'конкурсные предложения'!S$25*SUM(T85,T92,T105,T109,T144)</f>
        <v>65.83664156676083</v>
      </c>
      <c r="U84" s="195">
        <f>'конкурсные предложения'!T$25*SUM(U85,U92,U105,U109,U144)</f>
        <v>73.27338915026671</v>
      </c>
      <c r="V84" s="195">
        <f>'конкурсные предложения'!U$25*SUM(V85,V92,V105,V109,V144)</f>
        <v>81.16241129970965</v>
      </c>
      <c r="W84" s="195">
        <f>'конкурсные предложения'!V$25*SUM(W85,W92,W105,W109,W144)</f>
        <v>89.60280008616434</v>
      </c>
      <c r="X84" s="195">
        <f>'конкурсные предложения'!W$25*SUM(X85,X92,X105,X109,X144)</f>
        <v>98.63309988485406</v>
      </c>
      <c r="Y84" s="195">
        <f>'конкурсные предложения'!X$25*SUM(Y85,Y92,Y105,Y109,Y144)</f>
        <v>108.29455013580825</v>
      </c>
      <c r="Z84" s="195">
        <f>'конкурсные предложения'!Y$25*SUM(Z85,Z92,Z105,Z109,Z144)</f>
        <v>118.72497332983346</v>
      </c>
      <c r="AA84" s="195">
        <f>'конкурсные предложения'!Z$25*SUM(AA85,AA92,AA105,AA109,AA144)</f>
        <v>129.7897349990653</v>
      </c>
      <c r="AB84" s="195">
        <f>'конкурсные предложения'!AA$25*SUM(AB85,AB92,AB105,AB109,AB144)</f>
        <v>141.6278168992882</v>
      </c>
      <c r="AC84" s="195">
        <f>'конкурсные предложения'!AB$25*SUM(AC85,AC92,AC105,AC109,AC144)</f>
        <v>154.29327951068032</v>
      </c>
      <c r="AD84" s="195">
        <f>'конкурсные предложения'!AC$25*SUM(AD85,AD92,AD105,AD109,AD144)</f>
        <v>167.84396328122804</v>
      </c>
      <c r="AE84" s="195">
        <f>'конкурсные предложения'!AD$25*SUM(AE85,AE92,AE105,AE109,AE144)</f>
        <v>182.47317138394155</v>
      </c>
      <c r="AF84" s="195">
        <f>'конкурсные предложения'!AE$25*SUM(AF85,AF92,AF105,AF109,AF144)</f>
        <v>197.99207201290568</v>
      </c>
    </row>
    <row r="85" spans="1:32" s="170" customFormat="1" ht="15">
      <c r="A85" s="182" t="s">
        <v>117</v>
      </c>
      <c r="B85" s="218"/>
      <c r="C85" s="206">
        <f>'конкурсные предложения'!B21*C12</f>
        <v>13.200000000000001</v>
      </c>
      <c r="D85" s="224">
        <f>C85*D89*(1+D87)*(1-0.01)</f>
        <v>17.070075000000003</v>
      </c>
      <c r="E85" s="224">
        <f>D85*E89*(1+E87)*(1-0.01)</f>
        <v>17.913336705000003</v>
      </c>
      <c r="F85" s="206">
        <f>'конкурсные предложения'!E21*F12</f>
        <v>16.468584000000003</v>
      </c>
      <c r="G85" s="224">
        <f>F85*G89*(1+G87)*(1-0.01)</f>
        <v>17.445171031200005</v>
      </c>
      <c r="H85" s="224">
        <f aca="true" t="shared" si="40" ref="H85:N85">G85*H89*(1+H87)*(1-0.01)</f>
        <v>18.479669673350166</v>
      </c>
      <c r="I85" s="224">
        <f t="shared" si="40"/>
        <v>19.575514084979833</v>
      </c>
      <c r="J85" s="224">
        <f t="shared" si="40"/>
        <v>20.73634207021914</v>
      </c>
      <c r="K85" s="206">
        <f>'конкурсные предложения'!J21*K12</f>
        <v>23.09804099137834</v>
      </c>
      <c r="L85" s="224">
        <f t="shared" si="40"/>
        <v>24.467754822167077</v>
      </c>
      <c r="M85" s="224">
        <f t="shared" si="40"/>
        <v>25.918692683121588</v>
      </c>
      <c r="N85" s="224">
        <f t="shared" si="40"/>
        <v>27.455671159230697</v>
      </c>
      <c r="O85" s="224">
        <f>N85*O89*(1+O87)*(1-0.01)</f>
        <v>29.08379245897308</v>
      </c>
      <c r="P85" s="206">
        <f>'конкурсные предложения'!O21*P12</f>
        <v>32.396197368237246</v>
      </c>
      <c r="Q85" s="224">
        <f>P85*Q89*(1+Q87)*(1-0.01)</f>
        <v>34.31729187217372</v>
      </c>
      <c r="R85" s="224">
        <f>Q85*R89*(1+R87)*(1-0.01)</f>
        <v>36.35230728019362</v>
      </c>
      <c r="S85" s="224">
        <f>R85*S89*(1+S87)*(1-0.01)</f>
        <v>38.50799910190911</v>
      </c>
      <c r="T85" s="224">
        <f>S85*T89*(1+T87)*(1-0.01)</f>
        <v>40.79152344865231</v>
      </c>
      <c r="U85" s="206">
        <f>'конкурсные предложения'!T21*U12</f>
        <v>45.43734268691993</v>
      </c>
      <c r="V85" s="224">
        <f>U85*V89*(1+V87)*(1-0.01)</f>
        <v>48.13177710825428</v>
      </c>
      <c r="W85" s="224">
        <f>V85*W89*(1+W87)*(1-0.01)</f>
        <v>50.98599149077376</v>
      </c>
      <c r="X85" s="224">
        <f>W85*X89*(1+X87)*(1-0.01)</f>
        <v>54.009460786176646</v>
      </c>
      <c r="Y85" s="224">
        <f>X85*Y89*(1+Y87)*(1-0.01)</f>
        <v>57.212221810796926</v>
      </c>
      <c r="Z85" s="206">
        <f>'конкурсные предложения'!Y21*Z12</f>
        <v>63.728223623948566</v>
      </c>
      <c r="AA85" s="224">
        <f>Z85*AA89*(1+AA87)*(1-0.01)</f>
        <v>67.50730728484872</v>
      </c>
      <c r="AB85" s="224">
        <f>AA85*AB89*(1+AB87)*(1-0.01)</f>
        <v>71.51049060684025</v>
      </c>
      <c r="AC85" s="224">
        <f>AB85*AC89*(1+AC87)*(1-0.01)</f>
        <v>75.75106269982588</v>
      </c>
      <c r="AD85" s="224">
        <f>AC85*AD89*(1+AD87)*(1-0.01)</f>
        <v>80.24310071792556</v>
      </c>
      <c r="AE85" s="206">
        <f>'конкурсные предложения'!AD21*AE12</f>
        <v>89.38213033820571</v>
      </c>
      <c r="AF85" s="224">
        <f>AE85*AF89*(1+AF87)*(1-0.01)</f>
        <v>94.68249066726132</v>
      </c>
    </row>
    <row r="86" spans="1:32" s="16" customFormat="1" ht="30">
      <c r="A86" s="207" t="s">
        <v>36</v>
      </c>
      <c r="B86" s="180"/>
      <c r="C86" s="220">
        <v>0.75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</row>
    <row r="87" spans="1:32" s="16" customFormat="1" ht="15">
      <c r="A87" s="207" t="s">
        <v>17</v>
      </c>
      <c r="B87" s="208"/>
      <c r="C87" s="210"/>
      <c r="D87" s="201">
        <f>'конкурсная документация'!D$23</f>
        <v>0.1</v>
      </c>
      <c r="E87" s="201">
        <f>'конкурсная документация'!E$23</f>
        <v>0.06</v>
      </c>
      <c r="F87" s="201">
        <f>'конкурсная документация'!F$23</f>
        <v>0.07</v>
      </c>
      <c r="G87" s="201">
        <f>'конкурсная документация'!G$23</f>
        <v>0.07</v>
      </c>
      <c r="H87" s="201">
        <f>'конкурсная документация'!H$23</f>
        <v>0.07</v>
      </c>
      <c r="I87" s="201">
        <f>'конкурсная документация'!I$23</f>
        <v>0.07</v>
      </c>
      <c r="J87" s="201">
        <f>'конкурсная документация'!J$23</f>
        <v>0.07</v>
      </c>
      <c r="K87" s="201">
        <f>'конкурсная документация'!K$23</f>
        <v>0.07</v>
      </c>
      <c r="L87" s="201">
        <f>'конкурсная документация'!L$23</f>
        <v>0.07</v>
      </c>
      <c r="M87" s="201">
        <f>'конкурсная документация'!M$23</f>
        <v>0.07</v>
      </c>
      <c r="N87" s="201">
        <f>'конкурсная документация'!N$23</f>
        <v>0.07</v>
      </c>
      <c r="O87" s="201">
        <f>'конкурсная документация'!O$23</f>
        <v>0.07</v>
      </c>
      <c r="P87" s="201">
        <f>'конкурсная документация'!P$23</f>
        <v>0.07</v>
      </c>
      <c r="Q87" s="201">
        <f>'конкурсная документация'!Q$23</f>
        <v>0.07</v>
      </c>
      <c r="R87" s="201">
        <f>'конкурсная документация'!R$23</f>
        <v>0.07</v>
      </c>
      <c r="S87" s="201">
        <f>'конкурсная документация'!S$23</f>
        <v>0.07</v>
      </c>
      <c r="T87" s="201">
        <f>'конкурсная документация'!T$23</f>
        <v>0.07</v>
      </c>
      <c r="U87" s="201">
        <f>'конкурсная документация'!U$23</f>
        <v>0.07</v>
      </c>
      <c r="V87" s="201">
        <f>'конкурсная документация'!V$23</f>
        <v>0.07</v>
      </c>
      <c r="W87" s="201">
        <f>'конкурсная документация'!W$23</f>
        <v>0.07</v>
      </c>
      <c r="X87" s="201">
        <f>'конкурсная документация'!X$23</f>
        <v>0.07</v>
      </c>
      <c r="Y87" s="201">
        <f>'конкурсная документация'!Y$23</f>
        <v>0.07</v>
      </c>
      <c r="Z87" s="201">
        <f>'конкурсная документация'!Z$23</f>
        <v>0.07</v>
      </c>
      <c r="AA87" s="201">
        <f>'конкурсная документация'!AA$23</f>
        <v>0.07</v>
      </c>
      <c r="AB87" s="201">
        <f>'конкурсная документация'!AB$23</f>
        <v>0.07</v>
      </c>
      <c r="AC87" s="201">
        <f>'конкурсная документация'!AC$23</f>
        <v>0.07</v>
      </c>
      <c r="AD87" s="201">
        <f>'конкурсная документация'!AD$23</f>
        <v>0.07</v>
      </c>
      <c r="AE87" s="201">
        <f>'конкурсная документация'!AE$23</f>
        <v>0.07</v>
      </c>
      <c r="AF87" s="201">
        <f>'конкурсная документация'!AF$23</f>
        <v>0.07</v>
      </c>
    </row>
    <row r="88" spans="1:32" s="170" customFormat="1" ht="45">
      <c r="A88" s="248" t="s">
        <v>253</v>
      </c>
      <c r="B88" s="237"/>
      <c r="C88" s="320">
        <f>'конкурсная документация'!C61</f>
        <v>0.5</v>
      </c>
      <c r="D88" s="320">
        <f>C88*(1+$C$86*D91)/D89</f>
        <v>0.42105263157894735</v>
      </c>
      <c r="E88" s="320">
        <f>D88*(1+$C$86*E91)/E89</f>
        <v>0.42105263157894735</v>
      </c>
      <c r="F88" s="320">
        <f aca="true" t="shared" si="41" ref="F88:AF88">E88*(1+$C$86*F91)/F89</f>
        <v>0.42105263157894735</v>
      </c>
      <c r="G88" s="320">
        <f t="shared" si="41"/>
        <v>0.42105263157894735</v>
      </c>
      <c r="H88" s="320">
        <f t="shared" si="41"/>
        <v>0.42105263157894735</v>
      </c>
      <c r="I88" s="320">
        <f t="shared" si="41"/>
        <v>0.42105263157894735</v>
      </c>
      <c r="J88" s="320">
        <f t="shared" si="41"/>
        <v>0.42105263157894735</v>
      </c>
      <c r="K88" s="320">
        <f t="shared" si="41"/>
        <v>0.42105263157894735</v>
      </c>
      <c r="L88" s="320">
        <f t="shared" si="41"/>
        <v>0.42105263157894735</v>
      </c>
      <c r="M88" s="320">
        <f t="shared" si="41"/>
        <v>0.42105263157894735</v>
      </c>
      <c r="N88" s="320">
        <f t="shared" si="41"/>
        <v>0.42105263157894735</v>
      </c>
      <c r="O88" s="320">
        <f t="shared" si="41"/>
        <v>0.42105263157894735</v>
      </c>
      <c r="P88" s="320">
        <f t="shared" si="41"/>
        <v>0.42105263157894735</v>
      </c>
      <c r="Q88" s="320">
        <f t="shared" si="41"/>
        <v>0.42105263157894735</v>
      </c>
      <c r="R88" s="320">
        <f t="shared" si="41"/>
        <v>0.42105263157894735</v>
      </c>
      <c r="S88" s="320">
        <f t="shared" si="41"/>
        <v>0.42105263157894735</v>
      </c>
      <c r="T88" s="320">
        <f t="shared" si="41"/>
        <v>0.42105263157894735</v>
      </c>
      <c r="U88" s="320">
        <f t="shared" si="41"/>
        <v>0.42105263157894735</v>
      </c>
      <c r="V88" s="320">
        <f t="shared" si="41"/>
        <v>0.42105263157894735</v>
      </c>
      <c r="W88" s="320">
        <f t="shared" si="41"/>
        <v>0.42105263157894735</v>
      </c>
      <c r="X88" s="320">
        <f t="shared" si="41"/>
        <v>0.42105263157894735</v>
      </c>
      <c r="Y88" s="320">
        <f t="shared" si="41"/>
        <v>0.42105263157894735</v>
      </c>
      <c r="Z88" s="320">
        <f t="shared" si="41"/>
        <v>0.42105263157894735</v>
      </c>
      <c r="AA88" s="320">
        <f t="shared" si="41"/>
        <v>0.42105263157894735</v>
      </c>
      <c r="AB88" s="320">
        <f t="shared" si="41"/>
        <v>0.42105263157894735</v>
      </c>
      <c r="AC88" s="320">
        <f t="shared" si="41"/>
        <v>0.42105263157894735</v>
      </c>
      <c r="AD88" s="320">
        <f t="shared" si="41"/>
        <v>0.42105263157894735</v>
      </c>
      <c r="AE88" s="320">
        <f t="shared" si="41"/>
        <v>0.42105263157894735</v>
      </c>
      <c r="AF88" s="320">
        <f t="shared" si="41"/>
        <v>0.42105263157894735</v>
      </c>
    </row>
    <row r="89" spans="1:32" s="170" customFormat="1" ht="15">
      <c r="A89" s="248" t="s">
        <v>256</v>
      </c>
      <c r="B89" s="237"/>
      <c r="C89" s="238"/>
      <c r="D89" s="238">
        <f aca="true" t="shared" si="42" ref="D89:AF89">(1+$C$86*D91)*C88+(1+$C$86*D93)*(1-C88)</f>
        <v>1.1875</v>
      </c>
      <c r="E89" s="238">
        <f t="shared" si="42"/>
        <v>1</v>
      </c>
      <c r="F89" s="238">
        <f t="shared" si="42"/>
        <v>1</v>
      </c>
      <c r="G89" s="238">
        <f t="shared" si="42"/>
        <v>1</v>
      </c>
      <c r="H89" s="238">
        <f t="shared" si="42"/>
        <v>1</v>
      </c>
      <c r="I89" s="238">
        <f t="shared" si="42"/>
        <v>1</v>
      </c>
      <c r="J89" s="238">
        <f t="shared" si="42"/>
        <v>1</v>
      </c>
      <c r="K89" s="238">
        <f t="shared" si="42"/>
        <v>1</v>
      </c>
      <c r="L89" s="238">
        <f t="shared" si="42"/>
        <v>1</v>
      </c>
      <c r="M89" s="238">
        <f t="shared" si="42"/>
        <v>1</v>
      </c>
      <c r="N89" s="238">
        <f t="shared" si="42"/>
        <v>1</v>
      </c>
      <c r="O89" s="238">
        <f t="shared" si="42"/>
        <v>1</v>
      </c>
      <c r="P89" s="238">
        <f t="shared" si="42"/>
        <v>1</v>
      </c>
      <c r="Q89" s="238">
        <f t="shared" si="42"/>
        <v>1</v>
      </c>
      <c r="R89" s="238">
        <f t="shared" si="42"/>
        <v>1</v>
      </c>
      <c r="S89" s="238">
        <f t="shared" si="42"/>
        <v>1</v>
      </c>
      <c r="T89" s="238">
        <f t="shared" si="42"/>
        <v>1</v>
      </c>
      <c r="U89" s="238">
        <f t="shared" si="42"/>
        <v>1</v>
      </c>
      <c r="V89" s="238">
        <f t="shared" si="42"/>
        <v>1</v>
      </c>
      <c r="W89" s="238">
        <f t="shared" si="42"/>
        <v>1</v>
      </c>
      <c r="X89" s="238">
        <f t="shared" si="42"/>
        <v>1</v>
      </c>
      <c r="Y89" s="238">
        <f t="shared" si="42"/>
        <v>1</v>
      </c>
      <c r="Z89" s="238">
        <f t="shared" si="42"/>
        <v>1</v>
      </c>
      <c r="AA89" s="238">
        <f t="shared" si="42"/>
        <v>1</v>
      </c>
      <c r="AB89" s="238">
        <f t="shared" si="42"/>
        <v>1</v>
      </c>
      <c r="AC89" s="238">
        <f t="shared" si="42"/>
        <v>1</v>
      </c>
      <c r="AD89" s="238">
        <f t="shared" si="42"/>
        <v>1</v>
      </c>
      <c r="AE89" s="238">
        <f t="shared" si="42"/>
        <v>1</v>
      </c>
      <c r="AF89" s="238">
        <f t="shared" si="42"/>
        <v>1</v>
      </c>
    </row>
    <row r="90" spans="1:32" s="170" customFormat="1" ht="47.25" customHeight="1">
      <c r="A90" s="248" t="s">
        <v>252</v>
      </c>
      <c r="B90" s="321"/>
      <c r="C90" s="321">
        <f>'конкурсная документация'!C62</f>
        <v>1</v>
      </c>
      <c r="D90" s="321">
        <f>'конкурсная документация'!D62</f>
        <v>1</v>
      </c>
      <c r="E90" s="321">
        <f>'конкурсная документация'!E62</f>
        <v>1</v>
      </c>
      <c r="F90" s="321">
        <f>'конкурсная документация'!F62</f>
        <v>1</v>
      </c>
      <c r="G90" s="321">
        <f>'конкурсная документация'!G62</f>
        <v>1</v>
      </c>
      <c r="H90" s="321">
        <f>'конкурсная документация'!H62</f>
        <v>1</v>
      </c>
      <c r="I90" s="321">
        <f>'конкурсная документация'!I62</f>
        <v>1</v>
      </c>
      <c r="J90" s="321">
        <f>'конкурсная документация'!J62</f>
        <v>1</v>
      </c>
      <c r="K90" s="321">
        <f>'конкурсная документация'!K62</f>
        <v>1</v>
      </c>
      <c r="L90" s="321">
        <f>'конкурсная документация'!L62</f>
        <v>1</v>
      </c>
      <c r="M90" s="321">
        <f>'конкурсная документация'!M62</f>
        <v>1</v>
      </c>
      <c r="N90" s="321">
        <f>'конкурсная документация'!N62</f>
        <v>1</v>
      </c>
      <c r="O90" s="321">
        <f>'конкурсная документация'!O62</f>
        <v>1</v>
      </c>
      <c r="P90" s="321">
        <f>'конкурсная документация'!P62</f>
        <v>1</v>
      </c>
      <c r="Q90" s="321">
        <f>'конкурсная документация'!Q62</f>
        <v>1</v>
      </c>
      <c r="R90" s="321">
        <f>'конкурсная документация'!R62</f>
        <v>1</v>
      </c>
      <c r="S90" s="321">
        <f>'конкурсная документация'!S62</f>
        <v>1</v>
      </c>
      <c r="T90" s="321">
        <f>'конкурсная документация'!T62</f>
        <v>1</v>
      </c>
      <c r="U90" s="321">
        <f>'конкурсная документация'!U62</f>
        <v>1</v>
      </c>
      <c r="V90" s="321">
        <f>'конкурсная документация'!V62</f>
        <v>1</v>
      </c>
      <c r="W90" s="321">
        <f>'конкурсная документация'!W62</f>
        <v>1</v>
      </c>
      <c r="X90" s="321">
        <f>'конкурсная документация'!X62</f>
        <v>1</v>
      </c>
      <c r="Y90" s="321">
        <f>'конкурсная документация'!Y62</f>
        <v>1</v>
      </c>
      <c r="Z90" s="321">
        <f>'конкурсная документация'!Z62</f>
        <v>1</v>
      </c>
      <c r="AA90" s="321">
        <f>'конкурсная документация'!AA62</f>
        <v>1</v>
      </c>
      <c r="AB90" s="321">
        <f>'конкурсная документация'!AB62</f>
        <v>1</v>
      </c>
      <c r="AC90" s="321">
        <f>'конкурсная документация'!AC62</f>
        <v>1</v>
      </c>
      <c r="AD90" s="321">
        <f>'конкурсная документация'!AD62</f>
        <v>1</v>
      </c>
      <c r="AE90" s="321">
        <f>'конкурсная документация'!AE62</f>
        <v>1</v>
      </c>
      <c r="AF90" s="321">
        <f>'конкурсная документация'!AF62</f>
        <v>1</v>
      </c>
    </row>
    <row r="91" spans="1:32" s="170" customFormat="1" ht="22.5" customHeight="1">
      <c r="A91" s="248" t="s">
        <v>254</v>
      </c>
      <c r="B91" s="321"/>
      <c r="C91" s="321"/>
      <c r="D91" s="321">
        <f>(D90-C90)/C90</f>
        <v>0</v>
      </c>
      <c r="E91" s="321">
        <f aca="true" t="shared" si="43" ref="E91:AF91">(E90-D90)/D90</f>
        <v>0</v>
      </c>
      <c r="F91" s="321">
        <f t="shared" si="43"/>
        <v>0</v>
      </c>
      <c r="G91" s="321">
        <f t="shared" si="43"/>
        <v>0</v>
      </c>
      <c r="H91" s="321">
        <f t="shared" si="43"/>
        <v>0</v>
      </c>
      <c r="I91" s="321">
        <f t="shared" si="43"/>
        <v>0</v>
      </c>
      <c r="J91" s="321">
        <f t="shared" si="43"/>
        <v>0</v>
      </c>
      <c r="K91" s="321">
        <f t="shared" si="43"/>
        <v>0</v>
      </c>
      <c r="L91" s="321">
        <f t="shared" si="43"/>
        <v>0</v>
      </c>
      <c r="M91" s="321">
        <f t="shared" si="43"/>
        <v>0</v>
      </c>
      <c r="N91" s="321">
        <f t="shared" si="43"/>
        <v>0</v>
      </c>
      <c r="O91" s="321">
        <f t="shared" si="43"/>
        <v>0</v>
      </c>
      <c r="P91" s="321">
        <f t="shared" si="43"/>
        <v>0</v>
      </c>
      <c r="Q91" s="321">
        <f t="shared" si="43"/>
        <v>0</v>
      </c>
      <c r="R91" s="321">
        <f t="shared" si="43"/>
        <v>0</v>
      </c>
      <c r="S91" s="321">
        <f t="shared" si="43"/>
        <v>0</v>
      </c>
      <c r="T91" s="321">
        <f t="shared" si="43"/>
        <v>0</v>
      </c>
      <c r="U91" s="321">
        <f t="shared" si="43"/>
        <v>0</v>
      </c>
      <c r="V91" s="321">
        <f t="shared" si="43"/>
        <v>0</v>
      </c>
      <c r="W91" s="321">
        <f t="shared" si="43"/>
        <v>0</v>
      </c>
      <c r="X91" s="321">
        <f t="shared" si="43"/>
        <v>0</v>
      </c>
      <c r="Y91" s="321">
        <f t="shared" si="43"/>
        <v>0</v>
      </c>
      <c r="Z91" s="321">
        <f t="shared" si="43"/>
        <v>0</v>
      </c>
      <c r="AA91" s="321">
        <f t="shared" si="43"/>
        <v>0</v>
      </c>
      <c r="AB91" s="321">
        <f t="shared" si="43"/>
        <v>0</v>
      </c>
      <c r="AC91" s="321">
        <f t="shared" si="43"/>
        <v>0</v>
      </c>
      <c r="AD91" s="321">
        <f t="shared" si="43"/>
        <v>0</v>
      </c>
      <c r="AE91" s="321">
        <f t="shared" si="43"/>
        <v>0</v>
      </c>
      <c r="AF91" s="321">
        <f t="shared" si="43"/>
        <v>0</v>
      </c>
    </row>
    <row r="92" spans="1:256" s="170" customFormat="1" ht="45" customHeight="1">
      <c r="A92" s="248" t="s">
        <v>251</v>
      </c>
      <c r="B92" s="321"/>
      <c r="C92" s="321">
        <f>'конкурсная документация'!C63</f>
        <v>2</v>
      </c>
      <c r="D92" s="321">
        <f>'конкурсная документация'!D63</f>
        <v>3</v>
      </c>
      <c r="E92" s="321">
        <f>'конкурсная документация'!E63</f>
        <v>3</v>
      </c>
      <c r="F92" s="321">
        <f>'конкурсная документация'!F63</f>
        <v>3</v>
      </c>
      <c r="G92" s="321">
        <f>'конкурсная документация'!G63</f>
        <v>3</v>
      </c>
      <c r="H92" s="321">
        <f>'конкурсная документация'!H63</f>
        <v>3</v>
      </c>
      <c r="I92" s="321">
        <f>'конкурсная документация'!I63</f>
        <v>3</v>
      </c>
      <c r="J92" s="321">
        <f>'конкурсная документация'!J63</f>
        <v>3</v>
      </c>
      <c r="K92" s="321">
        <f>'конкурсная документация'!K63</f>
        <v>3</v>
      </c>
      <c r="L92" s="321">
        <f>'конкурсная документация'!L63</f>
        <v>3</v>
      </c>
      <c r="M92" s="321">
        <f>'конкурсная документация'!M63</f>
        <v>3</v>
      </c>
      <c r="N92" s="321">
        <f>'конкурсная документация'!N63</f>
        <v>3</v>
      </c>
      <c r="O92" s="321">
        <f>'конкурсная документация'!O63</f>
        <v>3</v>
      </c>
      <c r="P92" s="321">
        <f>'конкурсная документация'!P63</f>
        <v>3</v>
      </c>
      <c r="Q92" s="321">
        <f>'конкурсная документация'!Q63</f>
        <v>3</v>
      </c>
      <c r="R92" s="321">
        <f>'конкурсная документация'!R63</f>
        <v>3</v>
      </c>
      <c r="S92" s="321">
        <f>'конкурсная документация'!S63</f>
        <v>3</v>
      </c>
      <c r="T92" s="321">
        <f>'конкурсная документация'!T63</f>
        <v>3</v>
      </c>
      <c r="U92" s="321">
        <f>'конкурсная документация'!U63</f>
        <v>3</v>
      </c>
      <c r="V92" s="321">
        <f>'конкурсная документация'!V63</f>
        <v>3</v>
      </c>
      <c r="W92" s="321">
        <f>'конкурсная документация'!W63</f>
        <v>3</v>
      </c>
      <c r="X92" s="321">
        <f>'конкурсная документация'!X63</f>
        <v>3</v>
      </c>
      <c r="Y92" s="321">
        <f>'конкурсная документация'!Y63</f>
        <v>3</v>
      </c>
      <c r="Z92" s="321">
        <f>'конкурсная документация'!Z63</f>
        <v>3</v>
      </c>
      <c r="AA92" s="321">
        <f>'конкурсная документация'!AA63</f>
        <v>3</v>
      </c>
      <c r="AB92" s="321">
        <f>'конкурсная документация'!AB63</f>
        <v>3</v>
      </c>
      <c r="AC92" s="321">
        <f>'конкурсная документация'!AC63</f>
        <v>3</v>
      </c>
      <c r="AD92" s="321">
        <f>'конкурсная документация'!AD63</f>
        <v>3</v>
      </c>
      <c r="AE92" s="321">
        <f>'конкурсная документация'!AE63</f>
        <v>3</v>
      </c>
      <c r="AF92" s="321">
        <f>'конкурсная документация'!AF63</f>
        <v>3</v>
      </c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2"/>
      <c r="EB92" s="182"/>
      <c r="EC92" s="182"/>
      <c r="ED92" s="182"/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2"/>
      <c r="EP92" s="182"/>
      <c r="EQ92" s="182"/>
      <c r="ER92" s="182"/>
      <c r="ES92" s="182"/>
      <c r="ET92" s="182"/>
      <c r="EU92" s="182"/>
      <c r="EV92" s="182"/>
      <c r="EW92" s="182"/>
      <c r="EX92" s="182"/>
      <c r="EY92" s="182"/>
      <c r="EZ92" s="182"/>
      <c r="FA92" s="182"/>
      <c r="FB92" s="182"/>
      <c r="FC92" s="182"/>
      <c r="FD92" s="182"/>
      <c r="FE92" s="182"/>
      <c r="FF92" s="182"/>
      <c r="FG92" s="182"/>
      <c r="FH92" s="182"/>
      <c r="FI92" s="182"/>
      <c r="FJ92" s="182"/>
      <c r="FK92" s="182"/>
      <c r="FL92" s="182"/>
      <c r="FM92" s="182"/>
      <c r="FN92" s="182"/>
      <c r="FO92" s="182"/>
      <c r="FP92" s="182"/>
      <c r="FQ92" s="182"/>
      <c r="FR92" s="182"/>
      <c r="FS92" s="182"/>
      <c r="FT92" s="182"/>
      <c r="FU92" s="182"/>
      <c r="FV92" s="182"/>
      <c r="FW92" s="182"/>
      <c r="FX92" s="182"/>
      <c r="FY92" s="182"/>
      <c r="FZ92" s="182"/>
      <c r="GA92" s="182"/>
      <c r="GB92" s="182"/>
      <c r="GC92" s="182"/>
      <c r="GD92" s="182"/>
      <c r="GE92" s="182"/>
      <c r="GF92" s="182"/>
      <c r="GG92" s="182"/>
      <c r="GH92" s="182"/>
      <c r="GI92" s="182"/>
      <c r="GJ92" s="182"/>
      <c r="GK92" s="182"/>
      <c r="GL92" s="182"/>
      <c r="GM92" s="182"/>
      <c r="GN92" s="182"/>
      <c r="GO92" s="182"/>
      <c r="GP92" s="182"/>
      <c r="GQ92" s="182"/>
      <c r="GR92" s="182"/>
      <c r="GS92" s="182"/>
      <c r="GT92" s="182"/>
      <c r="GU92" s="182"/>
      <c r="GV92" s="182"/>
      <c r="GW92" s="182"/>
      <c r="GX92" s="182"/>
      <c r="GY92" s="182"/>
      <c r="GZ92" s="182"/>
      <c r="HA92" s="182"/>
      <c r="HB92" s="182"/>
      <c r="HC92" s="182"/>
      <c r="HD92" s="182"/>
      <c r="HE92" s="182"/>
      <c r="HF92" s="182"/>
      <c r="HG92" s="182"/>
      <c r="HH92" s="182"/>
      <c r="HI92" s="182"/>
      <c r="HJ92" s="182"/>
      <c r="HK92" s="182"/>
      <c r="HL92" s="182"/>
      <c r="HM92" s="182"/>
      <c r="HN92" s="182"/>
      <c r="HO92" s="182"/>
      <c r="HP92" s="182"/>
      <c r="HQ92" s="182"/>
      <c r="HR92" s="182"/>
      <c r="HS92" s="182"/>
      <c r="HT92" s="182"/>
      <c r="HU92" s="182"/>
      <c r="HV92" s="182"/>
      <c r="HW92" s="182"/>
      <c r="HX92" s="182"/>
      <c r="HY92" s="182"/>
      <c r="HZ92" s="182"/>
      <c r="IA92" s="182"/>
      <c r="IB92" s="182"/>
      <c r="IC92" s="182"/>
      <c r="ID92" s="182"/>
      <c r="IE92" s="182"/>
      <c r="IF92" s="182"/>
      <c r="IG92" s="182"/>
      <c r="IH92" s="182"/>
      <c r="II92" s="182"/>
      <c r="IJ92" s="182"/>
      <c r="IK92" s="182"/>
      <c r="IL92" s="182"/>
      <c r="IM92" s="182"/>
      <c r="IN92" s="182"/>
      <c r="IO92" s="182"/>
      <c r="IP92" s="182"/>
      <c r="IQ92" s="182"/>
      <c r="IR92" s="182"/>
      <c r="IS92" s="182"/>
      <c r="IT92" s="182"/>
      <c r="IU92" s="182"/>
      <c r="IV92" s="182"/>
    </row>
    <row r="93" spans="1:256" s="170" customFormat="1" ht="30.75" customHeight="1">
      <c r="A93" s="248" t="s">
        <v>255</v>
      </c>
      <c r="B93" s="321"/>
      <c r="C93" s="321"/>
      <c r="D93" s="321">
        <f aca="true" t="shared" si="44" ref="D93:AF93">(D92-C92)/C92</f>
        <v>0.5</v>
      </c>
      <c r="E93" s="321">
        <f t="shared" si="44"/>
        <v>0</v>
      </c>
      <c r="F93" s="321">
        <f t="shared" si="44"/>
        <v>0</v>
      </c>
      <c r="G93" s="321">
        <f t="shared" si="44"/>
        <v>0</v>
      </c>
      <c r="H93" s="321">
        <f t="shared" si="44"/>
        <v>0</v>
      </c>
      <c r="I93" s="321">
        <f t="shared" si="44"/>
        <v>0</v>
      </c>
      <c r="J93" s="321">
        <f t="shared" si="44"/>
        <v>0</v>
      </c>
      <c r="K93" s="321">
        <f t="shared" si="44"/>
        <v>0</v>
      </c>
      <c r="L93" s="321">
        <f t="shared" si="44"/>
        <v>0</v>
      </c>
      <c r="M93" s="321">
        <f t="shared" si="44"/>
        <v>0</v>
      </c>
      <c r="N93" s="321">
        <f t="shared" si="44"/>
        <v>0</v>
      </c>
      <c r="O93" s="321">
        <f t="shared" si="44"/>
        <v>0</v>
      </c>
      <c r="P93" s="321">
        <f t="shared" si="44"/>
        <v>0</v>
      </c>
      <c r="Q93" s="321">
        <f t="shared" si="44"/>
        <v>0</v>
      </c>
      <c r="R93" s="321">
        <f t="shared" si="44"/>
        <v>0</v>
      </c>
      <c r="S93" s="321">
        <f t="shared" si="44"/>
        <v>0</v>
      </c>
      <c r="T93" s="321">
        <f t="shared" si="44"/>
        <v>0</v>
      </c>
      <c r="U93" s="321">
        <f t="shared" si="44"/>
        <v>0</v>
      </c>
      <c r="V93" s="321">
        <f t="shared" si="44"/>
        <v>0</v>
      </c>
      <c r="W93" s="321">
        <f t="shared" si="44"/>
        <v>0</v>
      </c>
      <c r="X93" s="321">
        <f t="shared" si="44"/>
        <v>0</v>
      </c>
      <c r="Y93" s="321">
        <f t="shared" si="44"/>
        <v>0</v>
      </c>
      <c r="Z93" s="321">
        <f t="shared" si="44"/>
        <v>0</v>
      </c>
      <c r="AA93" s="321">
        <f t="shared" si="44"/>
        <v>0</v>
      </c>
      <c r="AB93" s="321">
        <f t="shared" si="44"/>
        <v>0</v>
      </c>
      <c r="AC93" s="321">
        <f t="shared" si="44"/>
        <v>0</v>
      </c>
      <c r="AD93" s="321">
        <f t="shared" si="44"/>
        <v>0</v>
      </c>
      <c r="AE93" s="321">
        <f t="shared" si="44"/>
        <v>0</v>
      </c>
      <c r="AF93" s="321">
        <f t="shared" si="44"/>
        <v>0</v>
      </c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</row>
    <row r="94" spans="1:32" s="157" customFormat="1" ht="20.25" customHeight="1">
      <c r="A94" s="322" t="s">
        <v>61</v>
      </c>
      <c r="B94" s="323"/>
      <c r="C94" s="324">
        <f>SUM(C95,C98,C101,)</f>
        <v>12.687777777777779</v>
      </c>
      <c r="D94" s="324">
        <f aca="true" t="shared" si="45" ref="D94:AF94">SUM(D95,D98,D101,)</f>
        <v>12.22338</v>
      </c>
      <c r="E94" s="324">
        <f t="shared" si="45"/>
        <v>13.084470600000001</v>
      </c>
      <c r="F94" s="324">
        <f t="shared" si="45"/>
        <v>14.000383542000003</v>
      </c>
      <c r="G94" s="324">
        <f t="shared" si="45"/>
        <v>14.974107747540005</v>
      </c>
      <c r="H94" s="324">
        <f t="shared" si="45"/>
        <v>16.015614488923806</v>
      </c>
      <c r="I94" s="324">
        <f t="shared" si="45"/>
        <v>17.129625854147832</v>
      </c>
      <c r="J94" s="324">
        <f t="shared" si="45"/>
        <v>18.321193115997502</v>
      </c>
      <c r="K94" s="324">
        <f t="shared" si="45"/>
        <v>19.595719693300214</v>
      </c>
      <c r="L94" s="324">
        <f t="shared" si="45"/>
        <v>20.95898571456508</v>
      </c>
      <c r="M94" s="324">
        <f t="shared" si="45"/>
        <v>22.417174295882525</v>
      </c>
      <c r="N94" s="324">
        <f t="shared" si="45"/>
        <v>23.976899652770058</v>
      </c>
      <c r="O94" s="324">
        <f t="shared" si="45"/>
        <v>25.64523717401027</v>
      </c>
      <c r="P94" s="324">
        <f t="shared" si="45"/>
        <v>27.42975559447007</v>
      </c>
      <c r="Q94" s="324">
        <f t="shared" si="45"/>
        <v>29.3385514134588</v>
      </c>
      <c r="R94" s="324">
        <f t="shared" si="45"/>
        <v>31.3802857154193</v>
      </c>
      <c r="S94" s="324">
        <f t="shared" si="45"/>
        <v>33.56422356069813</v>
      </c>
      <c r="T94" s="324">
        <f t="shared" si="45"/>
        <v>35.900276125858454</v>
      </c>
      <c r="U94" s="324">
        <f t="shared" si="45"/>
        <v>38.39904578553468</v>
      </c>
      <c r="V94" s="324">
        <f t="shared" si="45"/>
        <v>41.07187434124022</v>
      </c>
      <c r="W94" s="324">
        <f t="shared" si="45"/>
        <v>43.93089461688823</v>
      </c>
      <c r="X94" s="324">
        <f t="shared" si="45"/>
        <v>46.98908565613726</v>
      </c>
      <c r="Y94" s="324">
        <f t="shared" si="45"/>
        <v>50.260331773097754</v>
      </c>
      <c r="Z94" s="324">
        <f t="shared" si="45"/>
        <v>53.75948572550732</v>
      </c>
      <c r="AA94" s="324">
        <f t="shared" si="45"/>
        <v>57.50243629828313</v>
      </c>
      <c r="AB94" s="324">
        <f t="shared" si="45"/>
        <v>61.506180605472665</v>
      </c>
      <c r="AC94" s="324">
        <f t="shared" si="45"/>
        <v>65.78890144014403</v>
      </c>
      <c r="AD94" s="324">
        <f t="shared" si="45"/>
        <v>70.37005002477972</v>
      </c>
      <c r="AE94" s="324">
        <f t="shared" si="45"/>
        <v>75.2704345393694</v>
      </c>
      <c r="AF94" s="324">
        <f t="shared" si="45"/>
        <v>80.5123148307517</v>
      </c>
    </row>
    <row r="95" spans="1:32" s="16" customFormat="1" ht="14.25" customHeight="1">
      <c r="A95" s="215" t="s">
        <v>19</v>
      </c>
      <c r="B95" s="241"/>
      <c r="C95" s="241">
        <f>C96*C97/1000</f>
        <v>0</v>
      </c>
      <c r="D95" s="241">
        <f aca="true" t="shared" si="46" ref="D95:AF95">D96*D97/1000</f>
        <v>0</v>
      </c>
      <c r="E95" s="241">
        <f t="shared" si="46"/>
        <v>0</v>
      </c>
      <c r="F95" s="241">
        <f t="shared" si="46"/>
        <v>0</v>
      </c>
      <c r="G95" s="241">
        <f t="shared" si="46"/>
        <v>0</v>
      </c>
      <c r="H95" s="241">
        <f t="shared" si="46"/>
        <v>0</v>
      </c>
      <c r="I95" s="241">
        <f t="shared" si="46"/>
        <v>0</v>
      </c>
      <c r="J95" s="241">
        <f t="shared" si="46"/>
        <v>0</v>
      </c>
      <c r="K95" s="241">
        <f t="shared" si="46"/>
        <v>0</v>
      </c>
      <c r="L95" s="241">
        <f t="shared" si="46"/>
        <v>0</v>
      </c>
      <c r="M95" s="241">
        <f t="shared" si="46"/>
        <v>0</v>
      </c>
      <c r="N95" s="241">
        <f t="shared" si="46"/>
        <v>0</v>
      </c>
      <c r="O95" s="241">
        <f t="shared" si="46"/>
        <v>0</v>
      </c>
      <c r="P95" s="241">
        <f t="shared" si="46"/>
        <v>0</v>
      </c>
      <c r="Q95" s="241">
        <f t="shared" si="46"/>
        <v>0</v>
      </c>
      <c r="R95" s="241">
        <f t="shared" si="46"/>
        <v>0</v>
      </c>
      <c r="S95" s="241">
        <f t="shared" si="46"/>
        <v>0</v>
      </c>
      <c r="T95" s="241">
        <f t="shared" si="46"/>
        <v>0</v>
      </c>
      <c r="U95" s="241">
        <f t="shared" si="46"/>
        <v>0</v>
      </c>
      <c r="V95" s="241">
        <f t="shared" si="46"/>
        <v>0</v>
      </c>
      <c r="W95" s="241">
        <f t="shared" si="46"/>
        <v>0</v>
      </c>
      <c r="X95" s="241">
        <f t="shared" si="46"/>
        <v>0</v>
      </c>
      <c r="Y95" s="241">
        <f t="shared" si="46"/>
        <v>0</v>
      </c>
      <c r="Z95" s="241">
        <f t="shared" si="46"/>
        <v>0</v>
      </c>
      <c r="AA95" s="241">
        <f t="shared" si="46"/>
        <v>0</v>
      </c>
      <c r="AB95" s="241">
        <f t="shared" si="46"/>
        <v>0</v>
      </c>
      <c r="AC95" s="241">
        <f t="shared" si="46"/>
        <v>0</v>
      </c>
      <c r="AD95" s="241">
        <f t="shared" si="46"/>
        <v>0</v>
      </c>
      <c r="AE95" s="241">
        <f t="shared" si="46"/>
        <v>0</v>
      </c>
      <c r="AF95" s="241">
        <f t="shared" si="46"/>
        <v>0</v>
      </c>
    </row>
    <row r="96" spans="1:32" s="170" customFormat="1" ht="30">
      <c r="A96" s="217" t="s">
        <v>101</v>
      </c>
      <c r="B96" s="189"/>
      <c r="C96" s="190">
        <f>'конкурсная документация'!C65/(1-'конкурсные предложения'!B26)*'конкурсные предложения'!B28</f>
        <v>0</v>
      </c>
      <c r="D96" s="190">
        <f>'конкурсная документация'!D65/(1-'конкурсные предложения'!C26)*'конкурсные предложения'!C28</f>
        <v>0</v>
      </c>
      <c r="E96" s="190">
        <f>'конкурсная документация'!E65/(1-'конкурсные предложения'!D26)*'конкурсные предложения'!D28</f>
        <v>0</v>
      </c>
      <c r="F96" s="190">
        <f>'конкурсная документация'!F65/(1-'конкурсные предложения'!E26)*'конкурсные предложения'!E28</f>
        <v>0</v>
      </c>
      <c r="G96" s="190">
        <f>'конкурсная документация'!G65/(1-'конкурсные предложения'!F26)*'конкурсные предложения'!F28</f>
        <v>0</v>
      </c>
      <c r="H96" s="190">
        <f>'конкурсная документация'!H65/(1-'конкурсные предложения'!G26)*'конкурсные предложения'!G28</f>
        <v>0</v>
      </c>
      <c r="I96" s="190">
        <f>'конкурсная документация'!I65/(1-'конкурсные предложения'!H26)*'конкурсные предложения'!H28</f>
        <v>0</v>
      </c>
      <c r="J96" s="190">
        <f>'конкурсная документация'!J65/(1-'конкурсные предложения'!I26)*'конкурсные предложения'!I28</f>
        <v>0</v>
      </c>
      <c r="K96" s="190">
        <f>'конкурсная документация'!K65/(1-'конкурсные предложения'!J26)*'конкурсные предложения'!J28</f>
        <v>0</v>
      </c>
      <c r="L96" s="190">
        <f>'конкурсная документация'!L65/(1-'конкурсные предложения'!K26)*'конкурсные предложения'!K28</f>
        <v>0</v>
      </c>
      <c r="M96" s="190">
        <f>'конкурсная документация'!M65/(1-'конкурсные предложения'!L26)*'конкурсные предложения'!L28</f>
        <v>0</v>
      </c>
      <c r="N96" s="190">
        <f>'конкурсная документация'!N65/(1-'конкурсные предложения'!M26)*'конкурсные предложения'!M28</f>
        <v>0</v>
      </c>
      <c r="O96" s="190">
        <f>'конкурсная документация'!O65/(1-'конкурсные предложения'!N26)*'конкурсные предложения'!N28</f>
        <v>0</v>
      </c>
      <c r="P96" s="190">
        <f>'конкурсная документация'!P65/(1-'конкурсные предложения'!O26)*'конкурсные предложения'!O28</f>
        <v>0</v>
      </c>
      <c r="Q96" s="190">
        <f>'конкурсная документация'!Q65/(1-'конкурсные предложения'!P26)*'конкурсные предложения'!P28</f>
        <v>0</v>
      </c>
      <c r="R96" s="190">
        <f>'конкурсная документация'!R65/(1-'конкурсные предложения'!Q26)*'конкурсные предложения'!Q28</f>
        <v>0</v>
      </c>
      <c r="S96" s="190">
        <f>'конкурсная документация'!S65/(1-'конкурсные предложения'!R26)*'конкурсные предложения'!R28</f>
        <v>0</v>
      </c>
      <c r="T96" s="190">
        <f>'конкурсная документация'!T65/(1-'конкурсные предложения'!S26)*'конкурсные предложения'!S28</f>
        <v>0</v>
      </c>
      <c r="U96" s="190">
        <f>'конкурсная документация'!U65/(1-'конкурсные предложения'!T26)*'конкурсные предложения'!T28</f>
        <v>0</v>
      </c>
      <c r="V96" s="190">
        <f>'конкурсная документация'!V65/(1-'конкурсные предложения'!U26)*'конкурсные предложения'!U28</f>
        <v>0</v>
      </c>
      <c r="W96" s="190">
        <f>'конкурсная документация'!W65/(1-'конкурсные предложения'!V26)*'конкурсные предложения'!V28</f>
        <v>0</v>
      </c>
      <c r="X96" s="190">
        <f>'конкурсная документация'!X65/(1-'конкурсные предложения'!W26)*'конкурсные предложения'!W28</f>
        <v>0</v>
      </c>
      <c r="Y96" s="190">
        <f>'конкурсная документация'!Y65/(1-'конкурсные предложения'!X26)*'конкурсные предложения'!X28</f>
        <v>0</v>
      </c>
      <c r="Z96" s="190">
        <f>'конкурсная документация'!Z65/(1-'конкурсные предложения'!Y26)*'конкурсные предложения'!Y28</f>
        <v>0</v>
      </c>
      <c r="AA96" s="190">
        <f>'конкурсная документация'!AA65/(1-'конкурсные предложения'!Z26)*'конкурсные предложения'!Z28</f>
        <v>0</v>
      </c>
      <c r="AB96" s="190">
        <f>'конкурсная документация'!AB65/(1-'конкурсные предложения'!AA26)*'конкурсные предложения'!AA28</f>
        <v>0</v>
      </c>
      <c r="AC96" s="190">
        <f>'конкурсная документация'!AC65/(1-'конкурсные предложения'!AB26)*'конкурсные предложения'!AB28</f>
        <v>0</v>
      </c>
      <c r="AD96" s="190">
        <f>'конкурсная документация'!AD65/(1-'конкурсные предложения'!AC26)*'конкурсные предложения'!AC28</f>
        <v>0</v>
      </c>
      <c r="AE96" s="190">
        <f>'конкурсная документация'!AE65/(1-'конкурсные предложения'!AD26)*'конкурсные предложения'!AD28</f>
        <v>0</v>
      </c>
      <c r="AF96" s="190">
        <f>'конкурсная документация'!AF65/(1-'конкурсные предложения'!AE26)*'конкурсные предложения'!AE28</f>
        <v>0</v>
      </c>
    </row>
    <row r="97" spans="1:32" s="170" customFormat="1" ht="15" customHeight="1">
      <c r="A97" s="217" t="s">
        <v>21</v>
      </c>
      <c r="B97" s="189"/>
      <c r="C97" s="190">
        <f>'конкурсная документация'!$B$15*C10</f>
        <v>4.2000816</v>
      </c>
      <c r="D97" s="190">
        <f>'конкурсная документация'!$B$15*D10</f>
        <v>4.557088535999999</v>
      </c>
      <c r="E97" s="190">
        <f>'конкурсная документация'!$B$15*E10</f>
        <v>4.903427264736</v>
      </c>
      <c r="F97" s="190">
        <f>'конкурсная документация'!$B$15*F10</f>
        <v>5.17311576429648</v>
      </c>
      <c r="G97" s="190">
        <f>'конкурсная документация'!$B$15*G10</f>
        <v>5.50936828897575</v>
      </c>
      <c r="H97" s="190">
        <f>'конкурсная документация'!$B$15*H10</f>
        <v>5.867477227759174</v>
      </c>
      <c r="I97" s="190">
        <f>'конкурсная документация'!$B$15*I10</f>
        <v>6.24886324756352</v>
      </c>
      <c r="J97" s="190">
        <f>'конкурсная документация'!$B$15*J10</f>
        <v>6.655039358655149</v>
      </c>
      <c r="K97" s="190">
        <f>'конкурсная документация'!$B$15*K10</f>
        <v>7.087616916967733</v>
      </c>
      <c r="L97" s="190">
        <f>'конкурсная документация'!$B$15*L10</f>
        <v>7.548312016570636</v>
      </c>
      <c r="M97" s="190">
        <f>'конкурсная документация'!$B$15*M10</f>
        <v>8.038952297647727</v>
      </c>
      <c r="N97" s="190">
        <f>'конкурсная документация'!$B$15*N10</f>
        <v>8.561484196994828</v>
      </c>
      <c r="O97" s="190">
        <f>'конкурсная документация'!$B$15*O10</f>
        <v>9.117980669799492</v>
      </c>
      <c r="P97" s="190">
        <f>'конкурсная документация'!$B$15*P10</f>
        <v>9.710649413336457</v>
      </c>
      <c r="Q97" s="190">
        <f>'конкурсная документация'!$B$15*Q10</f>
        <v>10.341841625203326</v>
      </c>
      <c r="R97" s="190">
        <f>'конкурсная документация'!$B$15*R10</f>
        <v>11.01406133084154</v>
      </c>
      <c r="S97" s="190">
        <f>'конкурсная документация'!$B$15*S10</f>
        <v>11.729975317346241</v>
      </c>
      <c r="T97" s="190">
        <f>'конкурсная документация'!$B$15*T10</f>
        <v>12.492423712973746</v>
      </c>
      <c r="U97" s="190">
        <f>'конкурсная документация'!$B$15*U10</f>
        <v>13.30443125431704</v>
      </c>
      <c r="V97" s="190">
        <f>'конкурсная документация'!$B$15*V10</f>
        <v>14.169219285847646</v>
      </c>
      <c r="W97" s="190">
        <f>'конкурсная документация'!$B$15*W10</f>
        <v>15.090218539427742</v>
      </c>
      <c r="X97" s="190">
        <f>'конкурсная документация'!$B$15*X10</f>
        <v>16.071082744490543</v>
      </c>
      <c r="Y97" s="190">
        <f>'конкурсная документация'!$B$15*Y10</f>
        <v>17.115703122882426</v>
      </c>
      <c r="Z97" s="190">
        <f>'конкурсная документация'!$B$15*Z10</f>
        <v>18.228223825869783</v>
      </c>
      <c r="AA97" s="190">
        <f>'конкурсная документация'!$B$15*AA10</f>
        <v>19.41305837455132</v>
      </c>
      <c r="AB97" s="190">
        <f>'конкурсная документация'!$B$15*AB10</f>
        <v>20.674907168897157</v>
      </c>
      <c r="AC97" s="190">
        <f>'конкурсная документация'!$B$15*AC10</f>
        <v>22.01877613487547</v>
      </c>
      <c r="AD97" s="190">
        <f>'конкурсная документация'!$B$15*AD10</f>
        <v>23.449996583642374</v>
      </c>
      <c r="AE97" s="190">
        <f>'конкурсная документация'!$B$15*AE10</f>
        <v>24.974246361579127</v>
      </c>
      <c r="AF97" s="190">
        <f>'конкурсная документация'!$B$15*AF10</f>
        <v>26.59757237508177</v>
      </c>
    </row>
    <row r="98" spans="1:32" s="16" customFormat="1" ht="15">
      <c r="A98" s="215" t="s">
        <v>62</v>
      </c>
      <c r="B98" s="241"/>
      <c r="C98" s="241">
        <f aca="true" t="shared" si="47" ref="C98:AF98">C99*C100/1000</f>
        <v>12.126666666666667</v>
      </c>
      <c r="D98" s="241">
        <f t="shared" si="47"/>
        <v>11.67798</v>
      </c>
      <c r="E98" s="241">
        <f t="shared" si="47"/>
        <v>12.495438600000002</v>
      </c>
      <c r="F98" s="241">
        <f t="shared" si="47"/>
        <v>13.370119302000003</v>
      </c>
      <c r="G98" s="241">
        <f t="shared" si="47"/>
        <v>14.306027653140005</v>
      </c>
      <c r="H98" s="241">
        <f t="shared" si="47"/>
        <v>15.307449588859805</v>
      </c>
      <c r="I98" s="241">
        <f t="shared" si="47"/>
        <v>16.37897106007999</v>
      </c>
      <c r="J98" s="241">
        <f t="shared" si="47"/>
        <v>17.52549903428559</v>
      </c>
      <c r="K98" s="241">
        <f t="shared" si="47"/>
        <v>18.75228396668559</v>
      </c>
      <c r="L98" s="241">
        <f t="shared" si="47"/>
        <v>20.06494384435358</v>
      </c>
      <c r="M98" s="241">
        <f t="shared" si="47"/>
        <v>21.469489913458332</v>
      </c>
      <c r="N98" s="241">
        <f t="shared" si="47"/>
        <v>22.972354207400414</v>
      </c>
      <c r="O98" s="241">
        <f t="shared" si="47"/>
        <v>24.580419001918447</v>
      </c>
      <c r="P98" s="241">
        <f t="shared" si="47"/>
        <v>26.301048332052737</v>
      </c>
      <c r="Q98" s="241">
        <f t="shared" si="47"/>
        <v>28.142121715296426</v>
      </c>
      <c r="R98" s="241">
        <f t="shared" si="47"/>
        <v>30.112070235367185</v>
      </c>
      <c r="S98" s="241">
        <f t="shared" si="47"/>
        <v>32.21991515184289</v>
      </c>
      <c r="T98" s="241">
        <f t="shared" si="47"/>
        <v>34.4753092124719</v>
      </c>
      <c r="U98" s="241">
        <f t="shared" si="47"/>
        <v>36.888580857344934</v>
      </c>
      <c r="V98" s="241">
        <f t="shared" si="47"/>
        <v>39.47078151735908</v>
      </c>
      <c r="W98" s="241">
        <f t="shared" si="47"/>
        <v>42.233736223574226</v>
      </c>
      <c r="X98" s="241">
        <f t="shared" si="47"/>
        <v>45.19009775922442</v>
      </c>
      <c r="Y98" s="241">
        <f t="shared" si="47"/>
        <v>48.35340460237014</v>
      </c>
      <c r="Z98" s="241">
        <f t="shared" si="47"/>
        <v>51.73814292453605</v>
      </c>
      <c r="AA98" s="241">
        <f t="shared" si="47"/>
        <v>55.35981292925358</v>
      </c>
      <c r="AB98" s="241">
        <f t="shared" si="47"/>
        <v>59.23499983430134</v>
      </c>
      <c r="AC98" s="241">
        <f t="shared" si="47"/>
        <v>63.381449822702436</v>
      </c>
      <c r="AD98" s="241">
        <f t="shared" si="47"/>
        <v>67.81815131029161</v>
      </c>
      <c r="AE98" s="241">
        <f t="shared" si="47"/>
        <v>72.56542190201202</v>
      </c>
      <c r="AF98" s="241">
        <f t="shared" si="47"/>
        <v>77.64500143515288</v>
      </c>
    </row>
    <row r="99" spans="1:32" s="170" customFormat="1" ht="30">
      <c r="A99" s="217" t="s">
        <v>243</v>
      </c>
      <c r="B99" s="189"/>
      <c r="C99" s="190">
        <f>'конкурсные предложения'!B27*'конкурсная документация'!C65/(1-'конкурсные предложения'!B26)*(1-'конкурсная документация'!C51)</f>
        <v>666.6666666666666</v>
      </c>
      <c r="D99" s="190">
        <f>'конкурсные предложения'!C27*'конкурсная документация'!D65/(1-'конкурсные предложения'!C26)*(1-'конкурсная документация'!D51)</f>
        <v>600</v>
      </c>
      <c r="E99" s="190">
        <f>'конкурсные предложения'!D27*'конкурсная документация'!E65/(1-'конкурсные предложения'!D26)*(1-'конкурсная документация'!E51)</f>
        <v>600</v>
      </c>
      <c r="F99" s="190">
        <f>'конкурсные предложения'!E27*'конкурсная документация'!F65/(1-'конкурсные предложения'!E26)*(1-'конкурсная документация'!F51)</f>
        <v>600</v>
      </c>
      <c r="G99" s="190">
        <f>'конкурсные предложения'!F27*'конкурсная документация'!G65/(1-'конкурсные предложения'!F26)*(1-'конкурсная документация'!G51)</f>
        <v>600</v>
      </c>
      <c r="H99" s="190">
        <f>'конкурсные предложения'!G27*'конкурсная документация'!H65/(1-'конкурсные предложения'!G26)*(1-'конкурсная документация'!H51)</f>
        <v>600</v>
      </c>
      <c r="I99" s="190">
        <f>'конкурсные предложения'!H27*'конкурсная документация'!I65/(1-'конкурсные предложения'!H26)*(1-'конкурсная документация'!I51)</f>
        <v>600</v>
      </c>
      <c r="J99" s="190">
        <f>'конкурсные предложения'!I27*'конкурсная документация'!J65/(1-'конкурсные предложения'!I26)*(1-'конкурсная документация'!J51)</f>
        <v>600</v>
      </c>
      <c r="K99" s="190">
        <f>'конкурсные предложения'!J27*'конкурсная документация'!K65/(1-'конкурсные предложения'!J26)*(1-'конкурсная документация'!K51)</f>
        <v>600</v>
      </c>
      <c r="L99" s="190">
        <f>'конкурсные предложения'!K27*'конкурсная документация'!L65/(1-'конкурсные предложения'!K26)*(1-'конкурсная документация'!L51)</f>
        <v>600</v>
      </c>
      <c r="M99" s="190">
        <f>'конкурсные предложения'!L27*'конкурсная документация'!M65/(1-'конкурсные предложения'!L26)*(1-'конкурсная документация'!M51)</f>
        <v>600</v>
      </c>
      <c r="N99" s="190">
        <f>'конкурсные предложения'!M27*'конкурсная документация'!N65/(1-'конкурсные предложения'!M26)*(1-'конкурсная документация'!N51)</f>
        <v>600</v>
      </c>
      <c r="O99" s="190">
        <f>'конкурсные предложения'!N27*'конкурсная документация'!O65/(1-'конкурсные предложения'!N26)*(1-'конкурсная документация'!O51)</f>
        <v>600</v>
      </c>
      <c r="P99" s="190">
        <f>'конкурсные предложения'!O27*'конкурсная документация'!P65/(1-'конкурсные предложения'!O26)*(1-'конкурсная документация'!P51)</f>
        <v>600</v>
      </c>
      <c r="Q99" s="190">
        <f>'конкурсные предложения'!P27*'конкурсная документация'!Q65/(1-'конкурсные предложения'!P26)*(1-'конкурсная документация'!Q51)</f>
        <v>600</v>
      </c>
      <c r="R99" s="190">
        <f>'конкурсные предложения'!Q27*'конкурсная документация'!R65/(1-'конкурсные предложения'!Q26)*(1-'конкурсная документация'!R51)</f>
        <v>600</v>
      </c>
      <c r="S99" s="190">
        <f>'конкурсные предложения'!R27*'конкурсная документация'!S65/(1-'конкурсные предложения'!R26)*(1-'конкурсная документация'!S51)</f>
        <v>600</v>
      </c>
      <c r="T99" s="190">
        <f>'конкурсные предложения'!S27*'конкурсная документация'!T65/(1-'конкурсные предложения'!S26)*(1-'конкурсная документация'!T51)</f>
        <v>600</v>
      </c>
      <c r="U99" s="190">
        <f>'конкурсные предложения'!T27*'конкурсная документация'!U65/(1-'конкурсные предложения'!T26)*(1-'конкурсная документация'!U51)</f>
        <v>600</v>
      </c>
      <c r="V99" s="190">
        <f>'конкурсные предложения'!U27*'конкурсная документация'!V65/(1-'конкурсные предложения'!U26)*(1-'конкурсная документация'!V51)</f>
        <v>600</v>
      </c>
      <c r="W99" s="190">
        <f>'конкурсные предложения'!V27*'конкурсная документация'!W65/(1-'конкурсные предложения'!V26)*(1-'конкурсная документация'!W51)</f>
        <v>600</v>
      </c>
      <c r="X99" s="190">
        <f>'конкурсные предложения'!W27*'конкурсная документация'!X65/(1-'конкурсные предложения'!W26)*(1-'конкурсная документация'!X51)</f>
        <v>600</v>
      </c>
      <c r="Y99" s="190">
        <f>'конкурсные предложения'!X27*'конкурсная документация'!Y65/(1-'конкурсные предложения'!X26)*(1-'конкурсная документация'!Y51)</f>
        <v>600</v>
      </c>
      <c r="Z99" s="190">
        <f>'конкурсные предложения'!Y27*'конкурсная документация'!Z65/(1-'конкурсные предложения'!Y26)*(1-'конкурсная документация'!Z51)</f>
        <v>600</v>
      </c>
      <c r="AA99" s="190">
        <f>'конкурсные предложения'!Z27*'конкурсная документация'!AA65/(1-'конкурсные предложения'!Z26)*(1-'конкурсная документация'!AA51)</f>
        <v>600</v>
      </c>
      <c r="AB99" s="190">
        <f>'конкурсные предложения'!AA27*'конкурсная документация'!AB65/(1-'конкурсные предложения'!AA26)*(1-'конкурсная документация'!AB51)</f>
        <v>600</v>
      </c>
      <c r="AC99" s="190">
        <f>'конкурсные предложения'!AB27*'конкурсная документация'!AC65/(1-'конкурсные предложения'!AB26)*(1-'конкурсная документация'!AC51)</f>
        <v>600</v>
      </c>
      <c r="AD99" s="190">
        <f>'конкурсные предложения'!AC27*'конкурсная документация'!AD65/(1-'конкурсные предложения'!AC26)*(1-'конкурсная документация'!AD51)</f>
        <v>600</v>
      </c>
      <c r="AE99" s="190">
        <f>'конкурсные предложения'!AD27*'конкурсная документация'!AE65/(1-'конкурсные предложения'!AD26)*(1-'конкурсная документация'!AE51)</f>
        <v>600</v>
      </c>
      <c r="AF99" s="190">
        <f>'конкурсные предложения'!AE27*'конкурсная документация'!AF65/(1-'конкурсные предложения'!AE26)*(1-'конкурсная документация'!AF51)</f>
        <v>600</v>
      </c>
    </row>
    <row r="100" spans="1:32" s="170" customFormat="1" ht="29.25" customHeight="1">
      <c r="A100" s="217" t="s">
        <v>105</v>
      </c>
      <c r="B100" s="189"/>
      <c r="C100" s="190">
        <f>'конкурсная документация'!$B$12*C7</f>
        <v>18.19</v>
      </c>
      <c r="D100" s="190">
        <f>'конкурсная документация'!$B$12*D7</f>
        <v>19.4633</v>
      </c>
      <c r="E100" s="190">
        <f>'конкурсная документация'!$B$12*E7</f>
        <v>20.825731</v>
      </c>
      <c r="F100" s="190">
        <f>'конкурсная документация'!$B$12*F7</f>
        <v>22.283532170000004</v>
      </c>
      <c r="G100" s="190">
        <f>'конкурсная документация'!$B$12*G7</f>
        <v>23.843379421900007</v>
      </c>
      <c r="H100" s="190">
        <f>'конкурсная документация'!$B$12*H7</f>
        <v>25.51241598143301</v>
      </c>
      <c r="I100" s="190">
        <f>'конкурсная документация'!$B$12*I7</f>
        <v>27.29828510013332</v>
      </c>
      <c r="J100" s="190">
        <f>'конкурсная документация'!$B$12*J7</f>
        <v>29.209165057142656</v>
      </c>
      <c r="K100" s="190">
        <f>'конкурсная документация'!$B$12*K7</f>
        <v>31.253806611142643</v>
      </c>
      <c r="L100" s="190">
        <f>'конкурсная документация'!$B$12*L7</f>
        <v>33.44157307392263</v>
      </c>
      <c r="M100" s="190">
        <f>'конкурсная документация'!$B$12*M7</f>
        <v>35.78248318909722</v>
      </c>
      <c r="N100" s="190">
        <f>'конкурсная документация'!$B$12*N7</f>
        <v>38.287257012334024</v>
      </c>
      <c r="O100" s="190">
        <f>'конкурсная документация'!$B$12*O7</f>
        <v>40.96736500319741</v>
      </c>
      <c r="P100" s="190">
        <f>'конкурсная документация'!$B$12*P7</f>
        <v>43.83508055342123</v>
      </c>
      <c r="Q100" s="190">
        <f>'конкурсная документация'!$B$12*Q7</f>
        <v>46.903536192160715</v>
      </c>
      <c r="R100" s="190">
        <f>'конкурсная документация'!$B$12*R7</f>
        <v>50.186783725611974</v>
      </c>
      <c r="S100" s="190">
        <f>'конкурсная документация'!$B$12*S7</f>
        <v>53.699858586404815</v>
      </c>
      <c r="T100" s="190">
        <f>'конкурсная документация'!$B$12*T7</f>
        <v>57.458848687453155</v>
      </c>
      <c r="U100" s="190">
        <f>'конкурсная документация'!$B$12*U7</f>
        <v>61.48096809557489</v>
      </c>
      <c r="V100" s="190">
        <f>'конкурсная документация'!$B$12*V7</f>
        <v>65.78463586226513</v>
      </c>
      <c r="W100" s="190">
        <f>'конкурсная документация'!$B$12*W7</f>
        <v>70.3895603726237</v>
      </c>
      <c r="X100" s="190">
        <f>'конкурсная документация'!$B$12*X7</f>
        <v>75.31682959870737</v>
      </c>
      <c r="Y100" s="190">
        <f>'конкурсная документация'!$B$12*Y7</f>
        <v>80.5890076706169</v>
      </c>
      <c r="Z100" s="190">
        <f>'конкурсная документация'!$B$12*Z7</f>
        <v>86.23023820756008</v>
      </c>
      <c r="AA100" s="190">
        <f>'конкурсная документация'!$B$12*AA7</f>
        <v>92.2663548820893</v>
      </c>
      <c r="AB100" s="190">
        <f>'конкурсная документация'!$B$12*AB7</f>
        <v>98.72499972383557</v>
      </c>
      <c r="AC100" s="190">
        <f>'конкурсная документация'!$B$12*AC7</f>
        <v>105.63574970450406</v>
      </c>
      <c r="AD100" s="190">
        <f>'конкурсная документация'!$B$12*AD7</f>
        <v>113.03025218381936</v>
      </c>
      <c r="AE100" s="190">
        <f>'конкурсная документация'!$B$12*AE7</f>
        <v>120.94236983668671</v>
      </c>
      <c r="AF100" s="190">
        <f>'конкурсная документация'!$B$12*AF7</f>
        <v>129.4083357252548</v>
      </c>
    </row>
    <row r="101" spans="1:32" s="16" customFormat="1" ht="16.5" customHeight="1">
      <c r="A101" s="215" t="s">
        <v>109</v>
      </c>
      <c r="B101" s="244"/>
      <c r="C101" s="241">
        <f aca="true" t="shared" si="48" ref="C101:AF101">C102*C103/1000</f>
        <v>0.5611111111111111</v>
      </c>
      <c r="D101" s="241">
        <f t="shared" si="48"/>
        <v>0.5454</v>
      </c>
      <c r="E101" s="241">
        <f t="shared" si="48"/>
        <v>0.589032</v>
      </c>
      <c r="F101" s="241">
        <f t="shared" si="48"/>
        <v>0.6302642399999999</v>
      </c>
      <c r="G101" s="241">
        <f t="shared" si="48"/>
        <v>0.6680800944</v>
      </c>
      <c r="H101" s="241">
        <f t="shared" si="48"/>
        <v>0.7081649000640001</v>
      </c>
      <c r="I101" s="241">
        <f t="shared" si="48"/>
        <v>0.7506547940678402</v>
      </c>
      <c r="J101" s="241">
        <f t="shared" si="48"/>
        <v>0.7956940817119107</v>
      </c>
      <c r="K101" s="241">
        <f t="shared" si="48"/>
        <v>0.8434357266146254</v>
      </c>
      <c r="L101" s="241">
        <f t="shared" si="48"/>
        <v>0.8940418702115029</v>
      </c>
      <c r="M101" s="241">
        <f t="shared" si="48"/>
        <v>0.9476843824241933</v>
      </c>
      <c r="N101" s="241">
        <f t="shared" si="48"/>
        <v>1.0045454453696447</v>
      </c>
      <c r="O101" s="241">
        <f t="shared" si="48"/>
        <v>1.0648181720918235</v>
      </c>
      <c r="P101" s="241">
        <f t="shared" si="48"/>
        <v>1.1287072624173329</v>
      </c>
      <c r="Q101" s="241">
        <f t="shared" si="48"/>
        <v>1.196429698162373</v>
      </c>
      <c r="R101" s="241">
        <f t="shared" si="48"/>
        <v>1.2682154800521155</v>
      </c>
      <c r="S101" s="241">
        <f t="shared" si="48"/>
        <v>1.3443084088552426</v>
      </c>
      <c r="T101" s="241">
        <f t="shared" si="48"/>
        <v>1.424966913386557</v>
      </c>
      <c r="U101" s="241">
        <f t="shared" si="48"/>
        <v>1.5104649281897504</v>
      </c>
      <c r="V101" s="241">
        <f t="shared" si="48"/>
        <v>1.6010928238811357</v>
      </c>
      <c r="W101" s="241">
        <f t="shared" si="48"/>
        <v>1.697158393314004</v>
      </c>
      <c r="X101" s="241">
        <f t="shared" si="48"/>
        <v>1.798987896912844</v>
      </c>
      <c r="Y101" s="241">
        <f t="shared" si="48"/>
        <v>1.9069271707276148</v>
      </c>
      <c r="Z101" s="241">
        <f t="shared" si="48"/>
        <v>2.0213428009712717</v>
      </c>
      <c r="AA101" s="241">
        <f t="shared" si="48"/>
        <v>2.1426233690295486</v>
      </c>
      <c r="AB101" s="241">
        <f t="shared" si="48"/>
        <v>2.2711807711713212</v>
      </c>
      <c r="AC101" s="241">
        <f t="shared" si="48"/>
        <v>2.4074516174416005</v>
      </c>
      <c r="AD101" s="241">
        <f t="shared" si="48"/>
        <v>2.5518987144880967</v>
      </c>
      <c r="AE101" s="241">
        <f t="shared" si="48"/>
        <v>2.705012637357383</v>
      </c>
      <c r="AF101" s="241">
        <f t="shared" si="48"/>
        <v>2.867313395598826</v>
      </c>
    </row>
    <row r="102" spans="1:32" s="170" customFormat="1" ht="27.75" customHeight="1">
      <c r="A102" s="217" t="s">
        <v>245</v>
      </c>
      <c r="B102" s="189"/>
      <c r="C102" s="190">
        <f>'конкурсная документация'!C65/(1-'конкурсные предложения'!B26)*'конкурсная документация'!C51</f>
        <v>55.55555555555556</v>
      </c>
      <c r="D102" s="190">
        <f>'конкурсная документация'!D65/(1-'конкурсные предложения'!C26)*'конкурсная документация'!D51</f>
        <v>50</v>
      </c>
      <c r="E102" s="190">
        <f>'конкурсная документация'!E65/(1-'конкурсные предложения'!D26)*'конкурсная документация'!E51</f>
        <v>50</v>
      </c>
      <c r="F102" s="190">
        <f>'конкурсная документация'!F65/(1-'конкурсные предложения'!E26)*'конкурсная документация'!F51</f>
        <v>50</v>
      </c>
      <c r="G102" s="190">
        <f>'конкурсная документация'!G65/(1-'конкурсные предложения'!F26)*'конкурсная документация'!G51</f>
        <v>50</v>
      </c>
      <c r="H102" s="190">
        <f>'конкурсная документация'!H65/(1-'конкурсные предложения'!G26)*'конкурсная документация'!H51</f>
        <v>50</v>
      </c>
      <c r="I102" s="190">
        <f>'конкурсная документация'!I65/(1-'конкурсные предложения'!H26)*'конкурсная документация'!I51</f>
        <v>50</v>
      </c>
      <c r="J102" s="190">
        <f>'конкурсная документация'!J65/(1-'конкурсные предложения'!I26)*'конкурсная документация'!J51</f>
        <v>50</v>
      </c>
      <c r="K102" s="190">
        <f>'конкурсная документация'!K65/(1-'конкурсные предложения'!J26)*'конкурсная документация'!K51</f>
        <v>50</v>
      </c>
      <c r="L102" s="190">
        <f>'конкурсная документация'!L65/(1-'конкурсные предложения'!K26)*'конкурсная документация'!L51</f>
        <v>50</v>
      </c>
      <c r="M102" s="190">
        <f>'конкурсная документация'!M65/(1-'конкурсные предложения'!L26)*'конкурсная документация'!M51</f>
        <v>50</v>
      </c>
      <c r="N102" s="190">
        <f>'конкурсная документация'!N65/(1-'конкурсные предложения'!M26)*'конкурсная документация'!N51</f>
        <v>50</v>
      </c>
      <c r="O102" s="190">
        <f>'конкурсная документация'!O65/(1-'конкурсные предложения'!N26)*'конкурсная документация'!O51</f>
        <v>50</v>
      </c>
      <c r="P102" s="190">
        <f>'конкурсная документация'!P65/(1-'конкурсные предложения'!O26)*'конкурсная документация'!P51</f>
        <v>50</v>
      </c>
      <c r="Q102" s="190">
        <f>'конкурсная документация'!Q65/(1-'конкурсные предложения'!P26)*'конкурсная документация'!Q51</f>
        <v>50</v>
      </c>
      <c r="R102" s="190">
        <f>'конкурсная документация'!R65/(1-'конкурсные предложения'!Q26)*'конкурсная документация'!R51</f>
        <v>50</v>
      </c>
      <c r="S102" s="190">
        <f>'конкурсная документация'!S65/(1-'конкурсные предложения'!R26)*'конкурсная документация'!S51</f>
        <v>50</v>
      </c>
      <c r="T102" s="190">
        <f>'конкурсная документация'!T65/(1-'конкурсные предложения'!S26)*'конкурсная документация'!T51</f>
        <v>50</v>
      </c>
      <c r="U102" s="190">
        <f>'конкурсная документация'!U65/(1-'конкурсные предложения'!T26)*'конкурсная документация'!U51</f>
        <v>50</v>
      </c>
      <c r="V102" s="190">
        <f>'конкурсная документация'!V65/(1-'конкурсные предложения'!U26)*'конкурсная документация'!V51</f>
        <v>50</v>
      </c>
      <c r="W102" s="190">
        <f>'конкурсная документация'!W65/(1-'конкурсные предложения'!V26)*'конкурсная документация'!W51</f>
        <v>50</v>
      </c>
      <c r="X102" s="190">
        <f>'конкурсная документация'!X65/(1-'конкурсные предложения'!W26)*'конкурсная документация'!X51</f>
        <v>50</v>
      </c>
      <c r="Y102" s="190">
        <f>'конкурсная документация'!Y65/(1-'конкурсные предложения'!X26)*'конкурсная документация'!Y51</f>
        <v>50</v>
      </c>
      <c r="Z102" s="190">
        <f>'конкурсная документация'!Z65/(1-'конкурсные предложения'!Y26)*'конкурсная документация'!Z51</f>
        <v>50</v>
      </c>
      <c r="AA102" s="190">
        <f>'конкурсная документация'!AA65/(1-'конкурсные предложения'!Z26)*'конкурсная документация'!AA51</f>
        <v>50</v>
      </c>
      <c r="AB102" s="190">
        <f>'конкурсная документация'!AB65/(1-'конкурсные предложения'!AA26)*'конкурсная документация'!AB51</f>
        <v>50</v>
      </c>
      <c r="AC102" s="190">
        <f>'конкурсная документация'!AC65/(1-'конкурсные предложения'!AB26)*'конкурсная документация'!AC51</f>
        <v>50</v>
      </c>
      <c r="AD102" s="190">
        <f>'конкурсная документация'!AD65/(1-'конкурсные предложения'!AC26)*'конкурсная документация'!AD51</f>
        <v>50</v>
      </c>
      <c r="AE102" s="190">
        <f>'конкурсная документация'!AE65/(1-'конкурсные предложения'!AD26)*'конкурсная документация'!AE51</f>
        <v>50</v>
      </c>
      <c r="AF102" s="190">
        <f>'конкурсная документация'!AF65/(1-'конкурсные предложения'!AE26)*'конкурсная документация'!AF51</f>
        <v>50</v>
      </c>
    </row>
    <row r="103" spans="1:32" s="170" customFormat="1" ht="45" customHeight="1">
      <c r="A103" s="217" t="s">
        <v>108</v>
      </c>
      <c r="B103" s="189"/>
      <c r="C103" s="190">
        <f>'конкурсная документация'!$B$13*C11</f>
        <v>10.1</v>
      </c>
      <c r="D103" s="190">
        <f>'конкурсная документация'!$B$13*D11</f>
        <v>10.908</v>
      </c>
      <c r="E103" s="190">
        <f>'конкурсная документация'!$B$13*E11</f>
        <v>11.78064</v>
      </c>
      <c r="F103" s="190">
        <f>'конкурсная документация'!$B$13*F11</f>
        <v>12.6052848</v>
      </c>
      <c r="G103" s="190">
        <f>'конкурсная документация'!$B$13*G11</f>
        <v>13.361601888000001</v>
      </c>
      <c r="H103" s="190">
        <f>'конкурсная документация'!$B$13*H11</f>
        <v>14.163298001280003</v>
      </c>
      <c r="I103" s="190">
        <f>'конкурсная документация'!$B$13*I11</f>
        <v>15.013095881356804</v>
      </c>
      <c r="J103" s="190">
        <f>'конкурсная документация'!$B$13*J11</f>
        <v>15.913881634238214</v>
      </c>
      <c r="K103" s="190">
        <f>'конкурсная документация'!$B$13*K11</f>
        <v>16.868714532292508</v>
      </c>
      <c r="L103" s="190">
        <f>'конкурсная документация'!$B$13*L11</f>
        <v>17.880837404230057</v>
      </c>
      <c r="M103" s="190">
        <f>'конкурсная документация'!$B$13*M11</f>
        <v>18.953687648483864</v>
      </c>
      <c r="N103" s="190">
        <f>'конкурсная документация'!$B$13*N11</f>
        <v>20.090908907392894</v>
      </c>
      <c r="O103" s="190">
        <f>'конкурсная документация'!$B$13*O11</f>
        <v>21.29636344183647</v>
      </c>
      <c r="P103" s="190">
        <f>'конкурсная документация'!$B$13*P11</f>
        <v>22.574145248346657</v>
      </c>
      <c r="Q103" s="190">
        <f>'конкурсная документация'!$B$13*Q11</f>
        <v>23.928593963247458</v>
      </c>
      <c r="R103" s="190">
        <f>'конкурсная документация'!$B$13*R11</f>
        <v>25.364309601042308</v>
      </c>
      <c r="S103" s="190">
        <f>'конкурсная документация'!$B$13*S11</f>
        <v>26.88616817710485</v>
      </c>
      <c r="T103" s="190">
        <f>'конкурсная документация'!$B$13*T11</f>
        <v>28.49933826773114</v>
      </c>
      <c r="U103" s="190">
        <f>'конкурсная документация'!$B$13*U11</f>
        <v>30.20929856379501</v>
      </c>
      <c r="V103" s="190">
        <f>'конкурсная документация'!$B$13*V11</f>
        <v>32.02185647762271</v>
      </c>
      <c r="W103" s="190">
        <f>'конкурсная документация'!$B$13*W11</f>
        <v>33.94316786628008</v>
      </c>
      <c r="X103" s="190">
        <f>'конкурсная документация'!$B$13*X11</f>
        <v>35.97975793825688</v>
      </c>
      <c r="Y103" s="190">
        <f>'конкурсная документация'!$B$13*Y11</f>
        <v>38.138543414552295</v>
      </c>
      <c r="Z103" s="190">
        <f>'конкурсная документация'!$B$13*Z11</f>
        <v>40.426856019425436</v>
      </c>
      <c r="AA103" s="190">
        <f>'конкурсная документация'!$B$13*AA11</f>
        <v>42.852467380590966</v>
      </c>
      <c r="AB103" s="190">
        <f>'конкурсная документация'!$B$13*AB11</f>
        <v>45.423615423426426</v>
      </c>
      <c r="AC103" s="190">
        <f>'конкурсная документация'!$B$13*AC11</f>
        <v>48.14903234883201</v>
      </c>
      <c r="AD103" s="190">
        <f>'конкурсная документация'!$B$13*AD11</f>
        <v>51.037974289761934</v>
      </c>
      <c r="AE103" s="190">
        <f>'конкурсная документация'!$B$13*AE11</f>
        <v>54.10025274714766</v>
      </c>
      <c r="AF103" s="190">
        <f>'конкурсная документация'!$B$13*AF11</f>
        <v>57.34626791197652</v>
      </c>
    </row>
    <row r="104" spans="1:32" s="16" customFormat="1" ht="15">
      <c r="A104" s="99" t="s">
        <v>9</v>
      </c>
      <c r="B104" s="241"/>
      <c r="C104" s="241">
        <f>SUM(C105:C109)</f>
        <v>573.2705</v>
      </c>
      <c r="D104" s="241">
        <f>SUM(D105:D109)</f>
        <v>616.8983503750001</v>
      </c>
      <c r="E104" s="241">
        <f aca="true" t="shared" si="49" ref="E104:AF104">SUM(E105:E109)</f>
        <v>660.7060850252876</v>
      </c>
      <c r="F104" s="241">
        <f t="shared" si="49"/>
        <v>706.2155093299999</v>
      </c>
      <c r="G104" s="241">
        <f t="shared" si="49"/>
        <v>753.6979738792342</v>
      </c>
      <c r="H104" s="241">
        <f t="shared" si="49"/>
        <v>803.2725945758051</v>
      </c>
      <c r="I104" s="241">
        <f t="shared" si="49"/>
        <v>855.0858177026204</v>
      </c>
      <c r="J104" s="241">
        <f t="shared" si="49"/>
        <v>909.2943405067986</v>
      </c>
      <c r="K104" s="241">
        <f t="shared" si="49"/>
        <v>966.0743190045963</v>
      </c>
      <c r="L104" s="241">
        <f t="shared" si="49"/>
        <v>1025.5886782171285</v>
      </c>
      <c r="M104" s="241">
        <f t="shared" si="49"/>
        <v>1100.1527979101975</v>
      </c>
      <c r="N104" s="241">
        <f t="shared" si="49"/>
        <v>1190.6916580980205</v>
      </c>
      <c r="O104" s="241">
        <f t="shared" si="49"/>
        <v>1285.5288836061227</v>
      </c>
      <c r="P104" s="241">
        <f t="shared" si="49"/>
        <v>1384.9772607128343</v>
      </c>
      <c r="Q104" s="241">
        <f t="shared" si="49"/>
        <v>1489.3356188260523</v>
      </c>
      <c r="R104" s="241">
        <f t="shared" si="49"/>
        <v>1598.959676289015</v>
      </c>
      <c r="S104" s="241">
        <f t="shared" si="49"/>
        <v>1714.2180229140529</v>
      </c>
      <c r="T104" s="241">
        <f t="shared" si="49"/>
        <v>1835.5050492582284</v>
      </c>
      <c r="U104" s="241">
        <f t="shared" si="49"/>
        <v>1963.259454257554</v>
      </c>
      <c r="V104" s="241">
        <f t="shared" si="49"/>
        <v>2097.900361615259</v>
      </c>
      <c r="W104" s="241">
        <f t="shared" si="49"/>
        <v>2239.9266847092954</v>
      </c>
      <c r="X104" s="241">
        <f t="shared" si="49"/>
        <v>2389.855389818863</v>
      </c>
      <c r="Y104" s="241">
        <f t="shared" si="49"/>
        <v>2548.239630102343</v>
      </c>
      <c r="Z104" s="241">
        <f t="shared" si="49"/>
        <v>2715.694703511697</v>
      </c>
      <c r="AA104" s="241">
        <f t="shared" si="49"/>
        <v>2892.8084527222654</v>
      </c>
      <c r="AB104" s="241">
        <f t="shared" si="49"/>
        <v>3080.2806295557634</v>
      </c>
      <c r="AC104" s="241">
        <f t="shared" si="49"/>
        <v>3278.8363059617986</v>
      </c>
      <c r="AD104" s="241">
        <f t="shared" si="49"/>
        <v>3489.25130786</v>
      </c>
      <c r="AE104" s="241">
        <f t="shared" si="49"/>
        <v>3712.388622457785</v>
      </c>
      <c r="AF104" s="241">
        <f t="shared" si="49"/>
        <v>3949.0727295168354</v>
      </c>
    </row>
    <row r="105" spans="1:32" s="170" customFormat="1" ht="16.5" customHeight="1">
      <c r="A105" s="248" t="s">
        <v>20</v>
      </c>
      <c r="B105" s="189"/>
      <c r="C105" s="190">
        <f>'конкурсная документация'!C53*C12</f>
        <v>11</v>
      </c>
      <c r="D105" s="190">
        <f>'конкурсная документация'!D53*D12</f>
        <v>12.100000000000001</v>
      </c>
      <c r="E105" s="190">
        <f>'конкурсная документация'!E53*E12</f>
        <v>12.826000000000002</v>
      </c>
      <c r="F105" s="190">
        <f>'конкурсная документация'!F53*F12</f>
        <v>13.723820000000002</v>
      </c>
      <c r="G105" s="190">
        <f>'конкурсная документация'!G53*G12</f>
        <v>14.684487400000004</v>
      </c>
      <c r="H105" s="190">
        <f>'конкурсная документация'!H53*H12</f>
        <v>15.712401518000005</v>
      </c>
      <c r="I105" s="190">
        <f>'конкурсная документация'!I53*I12</f>
        <v>16.812269624260008</v>
      </c>
      <c r="J105" s="190">
        <f>'конкурсная документация'!J53*J12</f>
        <v>17.98912849795821</v>
      </c>
      <c r="K105" s="190">
        <f>'конкурсная документация'!K53*K12</f>
        <v>19.248367492815284</v>
      </c>
      <c r="L105" s="190">
        <f>'конкурсная документация'!L53*L12</f>
        <v>20.595753217312357</v>
      </c>
      <c r="M105" s="190">
        <f>'конкурсная документация'!M53*M12</f>
        <v>22.03745594252422</v>
      </c>
      <c r="N105" s="190">
        <f>'конкурсная документация'!N53*N12</f>
        <v>23.580077858500918</v>
      </c>
      <c r="O105" s="190">
        <f>'конкурсная документация'!O53*O12</f>
        <v>25.23068330859598</v>
      </c>
      <c r="P105" s="190">
        <f>'конкурсная документация'!P53*P12</f>
        <v>26.996831140197703</v>
      </c>
      <c r="Q105" s="190">
        <f>'конкурсная документация'!Q53*Q12</f>
        <v>28.886609320011544</v>
      </c>
      <c r="R105" s="190">
        <f>'конкурсная документация'!R53*R12</f>
        <v>30.90867197241235</v>
      </c>
      <c r="S105" s="190">
        <f>'конкурсная документация'!S53*S12</f>
        <v>33.07227901048122</v>
      </c>
      <c r="T105" s="190">
        <f>'конкурсная документация'!T53*T12</f>
        <v>35.3873385412149</v>
      </c>
      <c r="U105" s="190">
        <f>'конкурсная документация'!U53*U12</f>
        <v>37.86445223909995</v>
      </c>
      <c r="V105" s="190">
        <f>'конкурсная документация'!V53*V12</f>
        <v>40.51496389583694</v>
      </c>
      <c r="W105" s="190">
        <f>'конкурсная документация'!W53*W12</f>
        <v>43.351011368545535</v>
      </c>
      <c r="X105" s="190">
        <f>'конкурсная документация'!X53*X12</f>
        <v>46.385582164343724</v>
      </c>
      <c r="Y105" s="190">
        <f>'конкурсная документация'!Y53*Y12</f>
        <v>49.63257291584779</v>
      </c>
      <c r="Z105" s="190">
        <f>'конкурсная документация'!Z53*Z12</f>
        <v>53.10685301995714</v>
      </c>
      <c r="AA105" s="190">
        <f>'конкурсная документация'!AA53*AA12</f>
        <v>56.82433273135415</v>
      </c>
      <c r="AB105" s="190">
        <f>'конкурсная документация'!AB53*AB12</f>
        <v>60.80203602254894</v>
      </c>
      <c r="AC105" s="190">
        <f>'конкурсная документация'!AC53*AC12</f>
        <v>65.05817854412737</v>
      </c>
      <c r="AD105" s="190">
        <f>'конкурсная документация'!AD53*AD12</f>
        <v>69.61225104221629</v>
      </c>
      <c r="AE105" s="190">
        <f>'конкурсная документация'!AE53*AE12</f>
        <v>74.48510861517143</v>
      </c>
      <c r="AF105" s="190">
        <f>'конкурсная документация'!AF53*AF12</f>
        <v>79.69906621823343</v>
      </c>
    </row>
    <row r="106" spans="1:32" s="16" customFormat="1" ht="15">
      <c r="A106" s="207" t="s">
        <v>10</v>
      </c>
      <c r="B106" s="244"/>
      <c r="C106" s="244">
        <f>C84*'конкурсная документация'!$B$10/(1-'конкурсная документация'!$B$10)</f>
        <v>0.12050000000000001</v>
      </c>
      <c r="D106" s="244">
        <f>D84*'конкурсная документация'!$B$10/(1-'конкурсная документация'!$B$10)</f>
        <v>0.5568503750000001</v>
      </c>
      <c r="E106" s="244">
        <f>E84*'конкурсная документация'!$B$10/(1-'конкурсная документация'!$B$10)</f>
        <v>1.3158100252875</v>
      </c>
      <c r="F106" s="244">
        <f>F84*'конкурсная документация'!$B$10/(1-'конкурсная документация'!$B$10)</f>
        <v>1.8059440800000004</v>
      </c>
      <c r="G106" s="244">
        <f>G84*'конкурсная документация'!$B$10/(1-'конкурсная документация'!$B$10)</f>
        <v>2.3493060617340005</v>
      </c>
      <c r="H106" s="244">
        <f>H84*'конкурсная документация'!$B$10/(1-'конкурсная документация'!$B$10)</f>
        <v>2.930625011080127</v>
      </c>
      <c r="I106" s="244">
        <f>I84*'конкурсная документация'!$B$10/(1-'конкурсная документация'!$B$10)</f>
        <v>3.55255326836445</v>
      </c>
      <c r="J106" s="244">
        <f>J84*'конкурсная документация'!$B$10/(1-'конкурсная документация'!$B$10)</f>
        <v>4.217928562144642</v>
      </c>
      <c r="K106" s="244">
        <f>K84*'конкурсная документация'!$B$10/(1-'конкурсная документация'!$B$10)</f>
        <v>4.938277223816596</v>
      </c>
      <c r="L106" s="244">
        <f>L84*'конкурсная документация'!$B$10/(1-'конкурсная документация'!$B$10)</f>
        <v>5.7003705116942</v>
      </c>
      <c r="M106" s="244">
        <f>M84*'конкурсная документация'!$B$10/(1-'конкурсная документация'!$B$10)</f>
        <v>6.515700410188315</v>
      </c>
      <c r="N106" s="244">
        <f>N84*'конкурсная документация'!$B$10/(1-'конкурсная документация'!$B$10)</f>
        <v>7.663337037795366</v>
      </c>
      <c r="O106" s="244">
        <f>O84*'конкурсная документация'!$B$10/(1-'конкурсная документация'!$B$10)</f>
        <v>8.891184886812203</v>
      </c>
      <c r="P106" s="244">
        <f>P84*'конкурсная документация'!$B$10/(1-'конкурсная документация'!$B$10)</f>
        <v>10.216759448649265</v>
      </c>
      <c r="Q106" s="244">
        <f>Q84*'конкурсная документация'!$B$10/(1-'конкурсная документация'!$B$10)</f>
        <v>11.622950389197605</v>
      </c>
      <c r="R106" s="244">
        <f>R84*'конкурсная документация'!$B$10/(1-'конкурсная документация'!$B$10)</f>
        <v>13.127420527750386</v>
      </c>
      <c r="S106" s="244">
        <f>S84*'конкурсная документация'!$B$10/(1-'конкурсная документация'!$B$10)</f>
        <v>14.737040266015368</v>
      </c>
      <c r="T106" s="244">
        <f>T84*'конкурсная документация'!$B$10/(1-'конкурсная документация'!$B$10)</f>
        <v>16.459160391690208</v>
      </c>
      <c r="U106" s="244">
        <f>U84*'конкурсная документация'!$B$10/(1-'конкурсная документация'!$B$10)</f>
        <v>18.318347287566677</v>
      </c>
      <c r="V106" s="244">
        <f>V84*'конкурсная документация'!$B$10/(1-'конкурсная документация'!$B$10)</f>
        <v>20.290602824927408</v>
      </c>
      <c r="W106" s="244">
        <f>W84*'конкурсная документация'!$B$10/(1-'конкурсная документация'!$B$10)</f>
        <v>22.400700021541084</v>
      </c>
      <c r="X106" s="244">
        <f>X84*'конкурсная документация'!$B$10/(1-'конкурсная документация'!$B$10)</f>
        <v>24.658274971213515</v>
      </c>
      <c r="Y106" s="244">
        <f>Y84*'конкурсная документация'!$B$10/(1-'конкурсная документация'!$B$10)</f>
        <v>27.073637533952066</v>
      </c>
      <c r="Z106" s="244">
        <f>Z84*'конкурсная документация'!$B$10/(1-'конкурсная документация'!$B$10)</f>
        <v>29.681243332458365</v>
      </c>
      <c r="AA106" s="244">
        <f>AA84*'конкурсная документация'!$B$10/(1-'конкурсная документация'!$B$10)</f>
        <v>32.447433749766326</v>
      </c>
      <c r="AB106" s="244">
        <f>AB84*'конкурсная документация'!$B$10/(1-'конкурсная документация'!$B$10)</f>
        <v>35.40695422482205</v>
      </c>
      <c r="AC106" s="244">
        <f>AC84*'конкурсная документация'!$B$10/(1-'конкурсная документация'!$B$10)</f>
        <v>38.57331987767008</v>
      </c>
      <c r="AD106" s="244">
        <f>AD84*'конкурсная документация'!$B$10/(1-'конкурсная документация'!$B$10)</f>
        <v>41.96099082030701</v>
      </c>
      <c r="AE106" s="244">
        <f>AE84*'конкурсная документация'!$B$10/(1-'конкурсная документация'!$B$10)</f>
        <v>45.61829284598539</v>
      </c>
      <c r="AF106" s="244">
        <f>AF84*'конкурсная документация'!$B$10/(1-'конкурсная документация'!$B$10)</f>
        <v>49.49801800322643</v>
      </c>
    </row>
    <row r="107" spans="1:32" s="170" customFormat="1" ht="15">
      <c r="A107" s="248" t="s">
        <v>215</v>
      </c>
      <c r="B107" s="221"/>
      <c r="C107" s="221">
        <f>'конкурсная документация'!C55+(C113+D113)*'конкурсная документация'!$B$9/2</f>
        <v>518.15</v>
      </c>
      <c r="D107" s="221">
        <f>'конкурсная документация'!D55+(D113+E113)*'конкурсная документация'!$B$9/2</f>
        <v>555.8415</v>
      </c>
      <c r="E107" s="221">
        <f>'конкурсная документация'!E55+(E113+F113)*'конкурсная документация'!$B$9/2</f>
        <v>595.260275</v>
      </c>
      <c r="F107" s="221">
        <f>'конкурсная документация'!F55+(F113+G113)*'конкурсная документация'!$B$9/2</f>
        <v>635.79046525</v>
      </c>
      <c r="G107" s="221">
        <f>'конкурсная документация'!G55+(G113+H113)*'конкурсная документация'!$B$9/2</f>
        <v>677.9262308175</v>
      </c>
      <c r="H107" s="221">
        <f>'конкурсная документация'!H55+(H113+I113)*'конкурсная документация'!$B$9/2</f>
        <v>721.7799619747251</v>
      </c>
      <c r="I107" s="221">
        <f>'конкурсная документация'!I55+(I113+J113)*'конкурсная документация'!$B$9/2</f>
        <v>767.4719163129558</v>
      </c>
      <c r="J107" s="221">
        <f>'конкурсная документация'!J55+(J113+K113)*'конкурсная документация'!$B$9/2</f>
        <v>815.1307694548627</v>
      </c>
      <c r="K107" s="221">
        <f>'конкурсная документация'!K55+(K113+L113)*'конкурсная документация'!$B$9/2</f>
        <v>864.8942043167032</v>
      </c>
      <c r="L107" s="221">
        <f>'конкурсная документация'!L55+(L113+M113)*'конкурсная документация'!$B$9/2</f>
        <v>916.9095416188725</v>
      </c>
      <c r="M107" s="221">
        <f>'конкурсная документация'!M55+(M113+N113)*'конкурсная документация'!$B$9/2</f>
        <v>983.4498177873879</v>
      </c>
      <c r="N107" s="221">
        <f>'конкурсная документация'!N55+(N113+O113)*'конкурсная документация'!$B$9/2</f>
        <v>1065.1279317677206</v>
      </c>
      <c r="O107" s="221">
        <f>'конкурсная документация'!O55+(O113+P113)*'конкурсная документация'!$B$9/2</f>
        <v>1150.4842821763305</v>
      </c>
      <c r="P107" s="221">
        <f>'конкурсная документация'!P55+(P113+Q113)*'конкурсная документация'!$B$9/2</f>
        <v>1239.7763455631964</v>
      </c>
      <c r="Q107" s="221">
        <f>'конкурсная документация'!Q55+(Q113+R113)*'конкурсная документация'!$B$9/2</f>
        <v>1333.279621836797</v>
      </c>
      <c r="R107" s="221">
        <f>'конкурсная документация'!R55+(R113+S113)*'конкурсная документация'!$B$9/2</f>
        <v>1431.288895899203</v>
      </c>
      <c r="S107" s="221">
        <f>'конкурсная документация'!S55+(S113+T113)*'конкурсная документация'!$B$9/2</f>
        <v>1534.1195875956314</v>
      </c>
      <c r="T107" s="221">
        <f>'конкурсная документация'!T55+(T113+U113)*'конкурсная документация'!$B$9/2</f>
        <v>1642.1091961604634</v>
      </c>
      <c r="U107" s="221">
        <f>'конкурсная документация'!U55+(U113+V113)*'конкурсная документация'!$B$9/2</f>
        <v>1755.6188457744875</v>
      </c>
      <c r="V107" s="221">
        <f>'конкурсная документация'!V55+(V113+W113)*'конкурсная документация'!$B$9/2</f>
        <v>1875.034939311147</v>
      </c>
      <c r="W107" s="221">
        <f>'конкурсная документация'!W55+(W113+X113)*'конкурсная документация'!$B$9/2</f>
        <v>2000.7709278450263</v>
      </c>
      <c r="X107" s="221">
        <f>'конкурсная документация'!X55+(X113+Y113)*'конкурсная документация'!$B$9/2</f>
        <v>2133.269204025931</v>
      </c>
      <c r="Y107" s="221">
        <f>'конкурсная документация'!Y55+(Y113+Z113)*'конкурсная документация'!$B$9/2</f>
        <v>2273.0031279891523</v>
      </c>
      <c r="Z107" s="221">
        <f>'конкурсная документация'!Z55+(Z113+AA113)*'конкурсная документация'!$B$9/2</f>
        <v>2420.4791950794533</v>
      </c>
      <c r="AA107" s="221">
        <f>'конкурсная документация'!AA55+(AA113+AB113)*'конкурсная документация'!$B$9/2</f>
        <v>2576.2393553157285</v>
      </c>
      <c r="AB107" s="221">
        <f>'конкурсная документация'!AB55+(AB113+AC113)*'конкурсная документация'!$B$9/2</f>
        <v>2740.863495218197</v>
      </c>
      <c r="AC107" s="221">
        <f>'конкурсная документация'!AC55+(AC113+AD113)*'конкурсная документация'!$B$9/2</f>
        <v>2914.972093363492</v>
      </c>
      <c r="AD107" s="221">
        <f>'конкурсная документация'!AD55+(AD113+AE113)*'конкурсная документация'!$B$9/2</f>
        <v>3099.2290618286115</v>
      </c>
      <c r="AE107" s="221">
        <f>'конкурсная документация'!AE55+(AE113+AF113)*'конкурсная документация'!$B$9/2</f>
        <v>3294.3447865359426</v>
      </c>
      <c r="AF107" s="221">
        <f>'конкурсная документация'!AF55+(AF113+AG113)*'конкурсная документация'!$B$9/2</f>
        <v>3501.079380422442</v>
      </c>
    </row>
    <row r="108" spans="1:32" s="170" customFormat="1" ht="34.5" customHeight="1">
      <c r="A108" s="249" t="s">
        <v>169</v>
      </c>
      <c r="B108" s="189"/>
      <c r="C108" s="190">
        <f>'конкурсная документация'!C54*C12</f>
        <v>22</v>
      </c>
      <c r="D108" s="190">
        <f>'конкурсная документация'!D54*D12</f>
        <v>24.200000000000003</v>
      </c>
      <c r="E108" s="190">
        <f>'конкурсная документация'!E54*E12</f>
        <v>25.652000000000005</v>
      </c>
      <c r="F108" s="190">
        <f>'конкурсная документация'!F54*F12</f>
        <v>27.447640000000003</v>
      </c>
      <c r="G108" s="190">
        <f>'конкурсная документация'!G54*G12</f>
        <v>29.368974800000007</v>
      </c>
      <c r="H108" s="190">
        <f>'конкурсная документация'!H54*H12</f>
        <v>31.42480303600001</v>
      </c>
      <c r="I108" s="190">
        <f>'конкурсная документация'!I54*I12</f>
        <v>33.624539248520016</v>
      </c>
      <c r="J108" s="190">
        <f>'конкурсная документация'!J54*J12</f>
        <v>35.97825699591642</v>
      </c>
      <c r="K108" s="190">
        <f>'конкурсная документация'!K54*K12</f>
        <v>38.49673498563057</v>
      </c>
      <c r="L108" s="190">
        <f>'конкурсная документация'!L54*L12</f>
        <v>41.19150643462471</v>
      </c>
      <c r="M108" s="190">
        <f>'конкурсная документация'!M54*M12</f>
        <v>44.07491188504844</v>
      </c>
      <c r="N108" s="190">
        <f>'конкурсная документация'!N54*N12</f>
        <v>47.160155717001835</v>
      </c>
      <c r="O108" s="190">
        <f>'конкурсная документация'!O54*O12</f>
        <v>50.46136661719196</v>
      </c>
      <c r="P108" s="190">
        <f>'конкурсная документация'!P54*P12</f>
        <v>53.993662280395405</v>
      </c>
      <c r="Q108" s="190">
        <f>'конкурсная документация'!Q54*Q12</f>
        <v>57.77321864002309</v>
      </c>
      <c r="R108" s="190">
        <f>'конкурсная документация'!R54*R12</f>
        <v>61.8173439448247</v>
      </c>
      <c r="S108" s="190">
        <f>'конкурсная документация'!S54*S12</f>
        <v>66.14455802096244</v>
      </c>
      <c r="T108" s="190">
        <f>'конкурсная документация'!T54*T12</f>
        <v>70.7746770824298</v>
      </c>
      <c r="U108" s="190">
        <f>'конкурсная документация'!U54*U12</f>
        <v>75.7289044781999</v>
      </c>
      <c r="V108" s="190">
        <f>'конкурсная документация'!V54*V12</f>
        <v>81.02992779167388</v>
      </c>
      <c r="W108" s="190">
        <f>'конкурсная документация'!W54*W12</f>
        <v>86.70202273709107</v>
      </c>
      <c r="X108" s="190">
        <f>'конкурсная документация'!X54*X12</f>
        <v>92.77116432868745</v>
      </c>
      <c r="Y108" s="190">
        <f>'конкурсная документация'!Y54*Y12</f>
        <v>99.26514583169558</v>
      </c>
      <c r="Z108" s="190">
        <f>'конкурсная документация'!Z54*Z12</f>
        <v>106.21370603991429</v>
      </c>
      <c r="AA108" s="190">
        <f>'конкурсная документация'!AA54*AA12</f>
        <v>113.6486654627083</v>
      </c>
      <c r="AB108" s="190">
        <f>'конкурсная документация'!AB54*AB12</f>
        <v>121.60407204509788</v>
      </c>
      <c r="AC108" s="190">
        <f>'конкурсная документация'!AC54*AC12</f>
        <v>130.11635708825474</v>
      </c>
      <c r="AD108" s="190">
        <f>'конкурсная документация'!AD54*AD12</f>
        <v>139.22450208443257</v>
      </c>
      <c r="AE108" s="190">
        <f>'конкурсная документация'!AE54*AE12</f>
        <v>148.97021723034285</v>
      </c>
      <c r="AF108" s="190">
        <f>'конкурсная документация'!AF54*AF12</f>
        <v>159.39813243646685</v>
      </c>
    </row>
    <row r="109" spans="1:32" s="170" customFormat="1" ht="15">
      <c r="A109" s="248" t="s">
        <v>18</v>
      </c>
      <c r="B109" s="245"/>
      <c r="C109" s="190">
        <f>'конкурсная документация'!C56*C12</f>
        <v>22</v>
      </c>
      <c r="D109" s="190">
        <f>'конкурсная документация'!D56*D12</f>
        <v>24.200000000000003</v>
      </c>
      <c r="E109" s="190">
        <f>'конкурсная документация'!E56*E12</f>
        <v>25.652000000000005</v>
      </c>
      <c r="F109" s="190">
        <f>'конкурсная документация'!F56*F12</f>
        <v>27.447640000000003</v>
      </c>
      <c r="G109" s="190">
        <f>'конкурсная документация'!G56*G12</f>
        <v>29.368974800000007</v>
      </c>
      <c r="H109" s="190">
        <f>'конкурсная документация'!H56*H12</f>
        <v>31.42480303600001</v>
      </c>
      <c r="I109" s="190">
        <f>'конкурсная документация'!I56*I12</f>
        <v>33.624539248520016</v>
      </c>
      <c r="J109" s="190">
        <f>'конкурсная документация'!J56*J12</f>
        <v>35.97825699591642</v>
      </c>
      <c r="K109" s="190">
        <f>'конкурсная документация'!K56*K12</f>
        <v>38.49673498563057</v>
      </c>
      <c r="L109" s="190">
        <f>'конкурсная документация'!L56*L12</f>
        <v>41.19150643462471</v>
      </c>
      <c r="M109" s="190">
        <f>'конкурсная документация'!M56*M12</f>
        <v>44.07491188504844</v>
      </c>
      <c r="N109" s="190">
        <f>'конкурсная документация'!N56*N12</f>
        <v>47.160155717001835</v>
      </c>
      <c r="O109" s="190">
        <f>'конкурсная документация'!O56*O12</f>
        <v>50.46136661719196</v>
      </c>
      <c r="P109" s="190">
        <f>'конкурсная документация'!P56*P12</f>
        <v>53.993662280395405</v>
      </c>
      <c r="Q109" s="190">
        <f>'конкурсная документация'!Q56*Q12</f>
        <v>57.77321864002309</v>
      </c>
      <c r="R109" s="190">
        <f>'конкурсная документация'!R56*R12</f>
        <v>61.8173439448247</v>
      </c>
      <c r="S109" s="190">
        <f>'конкурсная документация'!S56*S12</f>
        <v>66.14455802096244</v>
      </c>
      <c r="T109" s="190">
        <f>'конкурсная документация'!T56*T12</f>
        <v>70.7746770824298</v>
      </c>
      <c r="U109" s="190">
        <f>'конкурсная документация'!U56*U12</f>
        <v>75.7289044781999</v>
      </c>
      <c r="V109" s="190">
        <f>'конкурсная документация'!V56*V12</f>
        <v>81.02992779167388</v>
      </c>
      <c r="W109" s="190">
        <f>'конкурсная документация'!W56*W12</f>
        <v>86.70202273709107</v>
      </c>
      <c r="X109" s="190">
        <f>'конкурсная документация'!X56*X12</f>
        <v>92.77116432868745</v>
      </c>
      <c r="Y109" s="190">
        <f>'конкурсная документация'!Y56*Y12</f>
        <v>99.26514583169558</v>
      </c>
      <c r="Z109" s="190">
        <f>'конкурсная документация'!Z56*Z12</f>
        <v>106.21370603991429</v>
      </c>
      <c r="AA109" s="190">
        <f>'конкурсная документация'!AA56*AA12</f>
        <v>113.6486654627083</v>
      </c>
      <c r="AB109" s="190">
        <f>'конкурсная документация'!AB56*AB12</f>
        <v>121.60407204509788</v>
      </c>
      <c r="AC109" s="190">
        <f>'конкурсная документация'!AC56*AC12</f>
        <v>130.11635708825474</v>
      </c>
      <c r="AD109" s="190">
        <f>'конкурсная документация'!AD56*AD12</f>
        <v>139.22450208443257</v>
      </c>
      <c r="AE109" s="190">
        <f>'конкурсная документация'!AE56*AE12</f>
        <v>148.97021723034285</v>
      </c>
      <c r="AF109" s="190">
        <f>'конкурсная документация'!AF56*AF12</f>
        <v>159.39813243646685</v>
      </c>
    </row>
    <row r="110" spans="1:32" s="16" customFormat="1" ht="60">
      <c r="A110" s="182" t="s">
        <v>219</v>
      </c>
      <c r="B110" s="186"/>
      <c r="C110" s="242">
        <f>'конкурсная документация'!C59</f>
        <v>0</v>
      </c>
      <c r="D110" s="242">
        <f>'конкурсная документация'!D59</f>
        <v>0</v>
      </c>
      <c r="E110" s="242">
        <f>'конкурсная документация'!E59</f>
        <v>0</v>
      </c>
      <c r="F110" s="242">
        <f>'конкурсная документация'!F59</f>
        <v>0</v>
      </c>
      <c r="G110" s="242">
        <f>'конкурсная документация'!G59</f>
        <v>0</v>
      </c>
      <c r="H110" s="242">
        <f>'конкурсная документация'!H59</f>
        <v>0</v>
      </c>
      <c r="I110" s="242">
        <f>'конкурсная документация'!I59</f>
        <v>0</v>
      </c>
      <c r="J110" s="242">
        <f>'конкурсная документация'!J59</f>
        <v>0</v>
      </c>
      <c r="K110" s="242">
        <f>'конкурсная документация'!K59</f>
        <v>0</v>
      </c>
      <c r="L110" s="242">
        <f>'конкурсная документация'!L59</f>
        <v>0</v>
      </c>
      <c r="M110" s="242">
        <f>'конкурсная документация'!M59</f>
        <v>0</v>
      </c>
      <c r="N110" s="242">
        <f>'конкурсная документация'!N59</f>
        <v>0</v>
      </c>
      <c r="O110" s="242">
        <f>'конкурсная документация'!O59</f>
        <v>0</v>
      </c>
      <c r="P110" s="242">
        <f>'конкурсная документация'!P59</f>
        <v>0</v>
      </c>
      <c r="Q110" s="242">
        <f>'конкурсная документация'!Q59</f>
        <v>0</v>
      </c>
      <c r="R110" s="242">
        <f>'конкурсная документация'!R59</f>
        <v>0</v>
      </c>
      <c r="S110" s="242">
        <f>'конкурсная документация'!S59</f>
        <v>0</v>
      </c>
      <c r="T110" s="242">
        <f>'конкурсная документация'!T59</f>
        <v>0</v>
      </c>
      <c r="U110" s="242">
        <f>'конкурсная документация'!U59</f>
        <v>0</v>
      </c>
      <c r="V110" s="242">
        <f>'конкурсная документация'!V59</f>
        <v>0</v>
      </c>
      <c r="W110" s="242">
        <f>'конкурсная документация'!W59</f>
        <v>0</v>
      </c>
      <c r="X110" s="242">
        <f>'конкурсная документация'!X59</f>
        <v>0</v>
      </c>
      <c r="Y110" s="242">
        <f>'конкурсная документация'!Y59</f>
        <v>0</v>
      </c>
      <c r="Z110" s="242">
        <f>'конкурсная документация'!Z59</f>
        <v>0</v>
      </c>
      <c r="AA110" s="242">
        <f>'конкурсная документация'!AA59</f>
        <v>0</v>
      </c>
      <c r="AB110" s="242">
        <f>'конкурсная документация'!AB59</f>
        <v>0</v>
      </c>
      <c r="AC110" s="242">
        <f>'конкурсная документация'!AC59</f>
        <v>0</v>
      </c>
      <c r="AD110" s="242">
        <f>'конкурсная документация'!AD59</f>
        <v>0</v>
      </c>
      <c r="AE110" s="242">
        <f>'конкурсная документация'!AE59</f>
        <v>0</v>
      </c>
      <c r="AF110" s="242">
        <f>'конкурсная документация'!AF59</f>
        <v>0</v>
      </c>
    </row>
    <row r="111" spans="1:32" s="16" customFormat="1" ht="64.5" customHeight="1">
      <c r="A111" s="99" t="s">
        <v>220</v>
      </c>
      <c r="B111" s="193"/>
      <c r="C111" s="191">
        <f>'конкурсная документация'!$B$60</f>
        <v>30</v>
      </c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200"/>
      <c r="Y111" s="200"/>
      <c r="Z111" s="200"/>
      <c r="AA111" s="200"/>
      <c r="AB111" s="200"/>
      <c r="AC111" s="200"/>
      <c r="AD111" s="200"/>
      <c r="AE111" s="200"/>
      <c r="AF111" s="200"/>
    </row>
    <row r="112" spans="1:32" s="170" customFormat="1" ht="18" customHeight="1">
      <c r="A112" s="182" t="s">
        <v>138</v>
      </c>
      <c r="B112" s="221"/>
      <c r="C112" s="221">
        <f>'конкурсные предложения'!B30*C8</f>
        <v>1650.0000000000002</v>
      </c>
      <c r="D112" s="221">
        <f>'конкурсные предложения'!C30*D8</f>
        <v>1831.5000000000005</v>
      </c>
      <c r="E112" s="221">
        <f>'конкурсные предложения'!D30*E8</f>
        <v>1923.0750000000005</v>
      </c>
      <c r="F112" s="221">
        <f>'конкурсные предложения'!E30*F8</f>
        <v>2057.690250000001</v>
      </c>
      <c r="G112" s="221">
        <f>'конкурсные предложения'!F30*G8</f>
        <v>2201.7285675000007</v>
      </c>
      <c r="H112" s="221">
        <f>'конкурсные предложения'!G30*H8</f>
        <v>2355.849567225001</v>
      </c>
      <c r="I112" s="221">
        <f>'конкурсные предложения'!H30*I8</f>
        <v>2520.7590369307513</v>
      </c>
      <c r="J112" s="221">
        <f>'конкурсные предложения'!I30*J8</f>
        <v>2697.2121695159044</v>
      </c>
      <c r="K112" s="221">
        <f>'конкурсные предложения'!J30*K8</f>
        <v>2886.017021382018</v>
      </c>
      <c r="L112" s="221">
        <f>'конкурсные предложения'!K30*L8</f>
        <v>3088.0382128787587</v>
      </c>
      <c r="M112" s="221">
        <f>'конкурсные предложения'!L30*M8</f>
        <v>4405.60118370703</v>
      </c>
      <c r="N112" s="221">
        <f>'конкурсные предложения'!M30*N8</f>
        <v>4713.993266566522</v>
      </c>
      <c r="O112" s="221">
        <f>'конкурсные предложения'!N30*O8</f>
        <v>5043.972795226179</v>
      </c>
      <c r="P112" s="221">
        <f>'конкурсные предложения'!O30*P8</f>
        <v>5397.050890892012</v>
      </c>
      <c r="Q112" s="221">
        <f>'конкурсные предложения'!P30*Q8</f>
        <v>5774.844453254454</v>
      </c>
      <c r="R112" s="221">
        <f>'конкурсные предложения'!Q30*R8</f>
        <v>6179.083564982266</v>
      </c>
      <c r="S112" s="221">
        <f>'конкурсные предложения'!R30*S8</f>
        <v>6611.619414531025</v>
      </c>
      <c r="T112" s="221">
        <f>'конкурсные предложения'!S30*T8</f>
        <v>7074.432773548197</v>
      </c>
      <c r="U112" s="221">
        <f>'конкурсные предложения'!T30*U8</f>
        <v>7569.643067696571</v>
      </c>
      <c r="V112" s="221">
        <f>'конкурсные предложения'!U30*V8</f>
        <v>8099.518082435331</v>
      </c>
      <c r="W112" s="221">
        <f>'конкурсные предложения'!V30*W8</f>
        <v>8666.484348205804</v>
      </c>
      <c r="X112" s="221">
        <f>'конкурсные предложения'!W30*X8</f>
        <v>9273.138252580211</v>
      </c>
      <c r="Y112" s="221">
        <f>'конкурсные предложения'!X30*Y8</f>
        <v>9922.257930260825</v>
      </c>
      <c r="Z112" s="221">
        <f>'конкурсные предложения'!Y30*Z8</f>
        <v>10616.815985379084</v>
      </c>
      <c r="AA112" s="221">
        <f>'конкурсные предложения'!Z30*AA8</f>
        <v>11359.99310435562</v>
      </c>
      <c r="AB112" s="221">
        <f>'конкурсные предложения'!AA30*AB8</f>
        <v>12155.192621660515</v>
      </c>
      <c r="AC112" s="221">
        <f>'конкурсные предложения'!AB30*AC8</f>
        <v>13006.056105176753</v>
      </c>
      <c r="AD112" s="221">
        <f>'конкурсные предложения'!AC30*AD8</f>
        <v>13916.480032539124</v>
      </c>
      <c r="AE112" s="221">
        <f>'конкурсные предложения'!AD30*AE8</f>
        <v>14890.633634816864</v>
      </c>
      <c r="AF112" s="221">
        <f>'конкурсные предложения'!AE30*AF8</f>
        <v>15932.977989254046</v>
      </c>
    </row>
    <row r="113" spans="1:33" s="170" customFormat="1" ht="59.25" customHeight="1">
      <c r="A113" s="182" t="s">
        <v>221</v>
      </c>
      <c r="B113" s="218"/>
      <c r="C113" s="240"/>
      <c r="D113" s="206">
        <f aca="true" t="shared" si="50" ref="D113:L113">C113+C112-C143</f>
        <v>1650.0000000000002</v>
      </c>
      <c r="E113" s="206">
        <f t="shared" si="50"/>
        <v>3426.500000000001</v>
      </c>
      <c r="F113" s="240">
        <f t="shared" si="50"/>
        <v>5233.5250000000015</v>
      </c>
      <c r="G113" s="240">
        <f t="shared" si="50"/>
        <v>7111.062750000003</v>
      </c>
      <c r="H113" s="240">
        <f t="shared" si="50"/>
        <v>9064.049142500004</v>
      </c>
      <c r="I113" s="240">
        <f t="shared" si="50"/>
        <v>11097.765582475005</v>
      </c>
      <c r="J113" s="240">
        <f t="shared" si="50"/>
        <v>13217.863173248255</v>
      </c>
      <c r="K113" s="240">
        <f t="shared" si="50"/>
        <v>15430.388595375634</v>
      </c>
      <c r="L113" s="240">
        <f t="shared" si="50"/>
        <v>17741.81179705193</v>
      </c>
      <c r="M113" s="240">
        <f aca="true" t="shared" si="51" ref="M113:AE113">L113+L112-L143</f>
        <v>20159.055622845568</v>
      </c>
      <c r="N113" s="240">
        <f t="shared" si="51"/>
        <v>23790.927812371516</v>
      </c>
      <c r="O113" s="240">
        <f t="shared" si="51"/>
        <v>27584.338711966724</v>
      </c>
      <c r="P113" s="240">
        <f t="shared" si="51"/>
        <v>31550.596031336037</v>
      </c>
      <c r="Q113" s="240">
        <f t="shared" si="51"/>
        <v>35701.79901986365</v>
      </c>
      <c r="R113" s="240">
        <f t="shared" si="51"/>
        <v>40050.893874390626</v>
      </c>
      <c r="S113" s="240">
        <f t="shared" si="51"/>
        <v>44611.73302553693</v>
      </c>
      <c r="T113" s="240">
        <f t="shared" si="51"/>
        <v>49399.138574065924</v>
      </c>
      <c r="U113" s="240">
        <f t="shared" si="51"/>
        <v>54428.970167794396</v>
      </c>
      <c r="V113" s="240">
        <f t="shared" si="51"/>
        <v>59718.197629886294</v>
      </c>
      <c r="W113" s="240">
        <f t="shared" si="51"/>
        <v>65284.97867112707</v>
      </c>
      <c r="X113" s="240">
        <f t="shared" si="51"/>
        <v>71148.74204205714</v>
      </c>
      <c r="Y113" s="240">
        <f t="shared" si="51"/>
        <v>77330.27650575475</v>
      </c>
      <c r="Z113" s="240">
        <f t="shared" si="51"/>
        <v>83851.82603871364</v>
      </c>
      <c r="AA113" s="240">
        <f t="shared" si="51"/>
        <v>90737.1916957821</v>
      </c>
      <c r="AB113" s="240">
        <f t="shared" si="51"/>
        <v>98011.84060564777</v>
      </c>
      <c r="AC113" s="240">
        <f t="shared" si="51"/>
        <v>105703.0225960065</v>
      </c>
      <c r="AD113" s="240">
        <f t="shared" si="51"/>
        <v>113839.89498249278</v>
      </c>
      <c r="AE113" s="240">
        <f t="shared" si="51"/>
        <v>122453.65609283555</v>
      </c>
      <c r="AF113" s="240">
        <f>AE113+AE112-AE143</f>
        <v>131577.68813770474</v>
      </c>
      <c r="AG113" s="164">
        <f>AF113+AF112-AF143</f>
        <v>141247.71008251724</v>
      </c>
    </row>
    <row r="114" spans="1:32" s="16" customFormat="1" ht="15">
      <c r="A114" s="247" t="s">
        <v>139</v>
      </c>
      <c r="B114" s="198"/>
      <c r="C114" s="198"/>
      <c r="D114" s="198">
        <f aca="true" t="shared" si="52" ref="D114:AF114">IF($C$112/$C$111*(D$5-$C$5)&gt;$C$112,0,$C$112/$C$111)</f>
        <v>55.00000000000001</v>
      </c>
      <c r="E114" s="198">
        <f t="shared" si="52"/>
        <v>55.00000000000001</v>
      </c>
      <c r="F114" s="198">
        <f t="shared" si="52"/>
        <v>55.00000000000001</v>
      </c>
      <c r="G114" s="198">
        <f t="shared" si="52"/>
        <v>55.00000000000001</v>
      </c>
      <c r="H114" s="198">
        <f t="shared" si="52"/>
        <v>55.00000000000001</v>
      </c>
      <c r="I114" s="198">
        <f t="shared" si="52"/>
        <v>55.00000000000001</v>
      </c>
      <c r="J114" s="198">
        <f t="shared" si="52"/>
        <v>55.00000000000001</v>
      </c>
      <c r="K114" s="198">
        <f t="shared" si="52"/>
        <v>55.00000000000001</v>
      </c>
      <c r="L114" s="198">
        <f t="shared" si="52"/>
        <v>55.00000000000001</v>
      </c>
      <c r="M114" s="198">
        <f t="shared" si="52"/>
        <v>55.00000000000001</v>
      </c>
      <c r="N114" s="198">
        <f t="shared" si="52"/>
        <v>55.00000000000001</v>
      </c>
      <c r="O114" s="198">
        <f t="shared" si="52"/>
        <v>55.00000000000001</v>
      </c>
      <c r="P114" s="198">
        <f t="shared" si="52"/>
        <v>55.00000000000001</v>
      </c>
      <c r="Q114" s="198">
        <f t="shared" si="52"/>
        <v>55.00000000000001</v>
      </c>
      <c r="R114" s="198">
        <f t="shared" si="52"/>
        <v>55.00000000000001</v>
      </c>
      <c r="S114" s="198">
        <f t="shared" si="52"/>
        <v>55.00000000000001</v>
      </c>
      <c r="T114" s="198">
        <f t="shared" si="52"/>
        <v>55.00000000000001</v>
      </c>
      <c r="U114" s="198">
        <f t="shared" si="52"/>
        <v>55.00000000000001</v>
      </c>
      <c r="V114" s="198">
        <f t="shared" si="52"/>
        <v>55.00000000000001</v>
      </c>
      <c r="W114" s="198">
        <f t="shared" si="52"/>
        <v>55.00000000000001</v>
      </c>
      <c r="X114" s="198">
        <f t="shared" si="52"/>
        <v>55.00000000000001</v>
      </c>
      <c r="Y114" s="198">
        <f t="shared" si="52"/>
        <v>55.00000000000001</v>
      </c>
      <c r="Z114" s="198">
        <f t="shared" si="52"/>
        <v>55.00000000000001</v>
      </c>
      <c r="AA114" s="198">
        <f t="shared" si="52"/>
        <v>55.00000000000001</v>
      </c>
      <c r="AB114" s="198">
        <f t="shared" si="52"/>
        <v>55.00000000000001</v>
      </c>
      <c r="AC114" s="198">
        <f t="shared" si="52"/>
        <v>55.00000000000001</v>
      </c>
      <c r="AD114" s="198">
        <f t="shared" si="52"/>
        <v>55.00000000000001</v>
      </c>
      <c r="AE114" s="198">
        <f t="shared" si="52"/>
        <v>55.00000000000001</v>
      </c>
      <c r="AF114" s="198">
        <f t="shared" si="52"/>
        <v>55.00000000000001</v>
      </c>
    </row>
    <row r="115" spans="1:32" s="16" customFormat="1" ht="15">
      <c r="A115" s="247" t="s">
        <v>140</v>
      </c>
      <c r="B115" s="198"/>
      <c r="C115" s="198"/>
      <c r="D115" s="199"/>
      <c r="E115" s="198">
        <f aca="true" t="shared" si="53" ref="E115:AF115">IF($D$112/$C$111*(E$5-$D$5)&gt;$D$112,0,$D$112/$C$111)</f>
        <v>61.05000000000002</v>
      </c>
      <c r="F115" s="198">
        <f t="shared" si="53"/>
        <v>61.05000000000002</v>
      </c>
      <c r="G115" s="198">
        <f t="shared" si="53"/>
        <v>61.05000000000002</v>
      </c>
      <c r="H115" s="198">
        <f t="shared" si="53"/>
        <v>61.05000000000002</v>
      </c>
      <c r="I115" s="198">
        <f t="shared" si="53"/>
        <v>61.05000000000002</v>
      </c>
      <c r="J115" s="198">
        <f t="shared" si="53"/>
        <v>61.05000000000002</v>
      </c>
      <c r="K115" s="198">
        <f t="shared" si="53"/>
        <v>61.05000000000002</v>
      </c>
      <c r="L115" s="198">
        <f t="shared" si="53"/>
        <v>61.05000000000002</v>
      </c>
      <c r="M115" s="198">
        <f t="shared" si="53"/>
        <v>61.05000000000002</v>
      </c>
      <c r="N115" s="198">
        <f t="shared" si="53"/>
        <v>61.05000000000002</v>
      </c>
      <c r="O115" s="198">
        <f t="shared" si="53"/>
        <v>61.05000000000002</v>
      </c>
      <c r="P115" s="198">
        <f t="shared" si="53"/>
        <v>61.05000000000002</v>
      </c>
      <c r="Q115" s="198">
        <f t="shared" si="53"/>
        <v>61.05000000000002</v>
      </c>
      <c r="R115" s="198">
        <f t="shared" si="53"/>
        <v>61.05000000000002</v>
      </c>
      <c r="S115" s="198">
        <f t="shared" si="53"/>
        <v>61.05000000000002</v>
      </c>
      <c r="T115" s="198">
        <f t="shared" si="53"/>
        <v>61.05000000000002</v>
      </c>
      <c r="U115" s="198">
        <f t="shared" si="53"/>
        <v>61.05000000000002</v>
      </c>
      <c r="V115" s="198">
        <f t="shared" si="53"/>
        <v>61.05000000000002</v>
      </c>
      <c r="W115" s="198">
        <f t="shared" si="53"/>
        <v>61.05000000000002</v>
      </c>
      <c r="X115" s="198">
        <f t="shared" si="53"/>
        <v>61.05000000000002</v>
      </c>
      <c r="Y115" s="198">
        <f t="shared" si="53"/>
        <v>61.05000000000002</v>
      </c>
      <c r="Z115" s="198">
        <f t="shared" si="53"/>
        <v>61.05000000000002</v>
      </c>
      <c r="AA115" s="198">
        <f t="shared" si="53"/>
        <v>61.05000000000002</v>
      </c>
      <c r="AB115" s="198">
        <f t="shared" si="53"/>
        <v>61.05000000000002</v>
      </c>
      <c r="AC115" s="198">
        <f t="shared" si="53"/>
        <v>61.05000000000002</v>
      </c>
      <c r="AD115" s="198">
        <f t="shared" si="53"/>
        <v>61.05000000000002</v>
      </c>
      <c r="AE115" s="198">
        <f t="shared" si="53"/>
        <v>61.05000000000002</v>
      </c>
      <c r="AF115" s="198">
        <f t="shared" si="53"/>
        <v>61.05000000000002</v>
      </c>
    </row>
    <row r="116" spans="1:32" s="16" customFormat="1" ht="15">
      <c r="A116" s="247" t="s">
        <v>141</v>
      </c>
      <c r="B116" s="198"/>
      <c r="C116" s="198"/>
      <c r="D116" s="198"/>
      <c r="E116" s="198"/>
      <c r="F116" s="198">
        <f aca="true" t="shared" si="54" ref="F116:AF116">IF($E$112/$C$111*(F$5-$E$5)&gt;$E$112,0,$E$112/$C$111)</f>
        <v>64.10250000000002</v>
      </c>
      <c r="G116" s="198">
        <f t="shared" si="54"/>
        <v>64.10250000000002</v>
      </c>
      <c r="H116" s="198">
        <f t="shared" si="54"/>
        <v>64.10250000000002</v>
      </c>
      <c r="I116" s="198">
        <f t="shared" si="54"/>
        <v>64.10250000000002</v>
      </c>
      <c r="J116" s="198">
        <f t="shared" si="54"/>
        <v>64.10250000000002</v>
      </c>
      <c r="K116" s="198">
        <f t="shared" si="54"/>
        <v>64.10250000000002</v>
      </c>
      <c r="L116" s="198">
        <f t="shared" si="54"/>
        <v>64.10250000000002</v>
      </c>
      <c r="M116" s="198">
        <f t="shared" si="54"/>
        <v>64.10250000000002</v>
      </c>
      <c r="N116" s="198">
        <f t="shared" si="54"/>
        <v>64.10250000000002</v>
      </c>
      <c r="O116" s="198">
        <f t="shared" si="54"/>
        <v>64.10250000000002</v>
      </c>
      <c r="P116" s="198">
        <f t="shared" si="54"/>
        <v>64.10250000000002</v>
      </c>
      <c r="Q116" s="198">
        <f t="shared" si="54"/>
        <v>64.10250000000002</v>
      </c>
      <c r="R116" s="198">
        <f t="shared" si="54"/>
        <v>64.10250000000002</v>
      </c>
      <c r="S116" s="198">
        <f t="shared" si="54"/>
        <v>64.10250000000002</v>
      </c>
      <c r="T116" s="198">
        <f t="shared" si="54"/>
        <v>64.10250000000002</v>
      </c>
      <c r="U116" s="198">
        <f t="shared" si="54"/>
        <v>64.10250000000002</v>
      </c>
      <c r="V116" s="198">
        <f t="shared" si="54"/>
        <v>64.10250000000002</v>
      </c>
      <c r="W116" s="198">
        <f t="shared" si="54"/>
        <v>64.10250000000002</v>
      </c>
      <c r="X116" s="198">
        <f t="shared" si="54"/>
        <v>64.10250000000002</v>
      </c>
      <c r="Y116" s="198">
        <f t="shared" si="54"/>
        <v>64.10250000000002</v>
      </c>
      <c r="Z116" s="198">
        <f t="shared" si="54"/>
        <v>64.10250000000002</v>
      </c>
      <c r="AA116" s="198">
        <f t="shared" si="54"/>
        <v>64.10250000000002</v>
      </c>
      <c r="AB116" s="198">
        <f t="shared" si="54"/>
        <v>64.10250000000002</v>
      </c>
      <c r="AC116" s="198">
        <f t="shared" si="54"/>
        <v>64.10250000000002</v>
      </c>
      <c r="AD116" s="198">
        <f t="shared" si="54"/>
        <v>64.10250000000002</v>
      </c>
      <c r="AE116" s="198">
        <f t="shared" si="54"/>
        <v>64.10250000000002</v>
      </c>
      <c r="AF116" s="198">
        <f t="shared" si="54"/>
        <v>64.10250000000002</v>
      </c>
    </row>
    <row r="117" spans="1:32" s="16" customFormat="1" ht="15">
      <c r="A117" s="247" t="s">
        <v>142</v>
      </c>
      <c r="B117" s="198"/>
      <c r="C117" s="198"/>
      <c r="D117" s="198"/>
      <c r="E117" s="198"/>
      <c r="F117" s="198"/>
      <c r="G117" s="198">
        <f aca="true" t="shared" si="55" ref="G117:AF117">IF($F$112/$C$111*(G$5-$F$5)&gt;$F$112,0,$F$112/$C$111)</f>
        <v>68.58967500000003</v>
      </c>
      <c r="H117" s="198">
        <f t="shared" si="55"/>
        <v>68.58967500000003</v>
      </c>
      <c r="I117" s="198">
        <f t="shared" si="55"/>
        <v>68.58967500000003</v>
      </c>
      <c r="J117" s="198">
        <f t="shared" si="55"/>
        <v>68.58967500000003</v>
      </c>
      <c r="K117" s="198">
        <f t="shared" si="55"/>
        <v>68.58967500000003</v>
      </c>
      <c r="L117" s="198">
        <f t="shared" si="55"/>
        <v>68.58967500000003</v>
      </c>
      <c r="M117" s="198">
        <f t="shared" si="55"/>
        <v>68.58967500000003</v>
      </c>
      <c r="N117" s="198">
        <f t="shared" si="55"/>
        <v>68.58967500000003</v>
      </c>
      <c r="O117" s="198">
        <f t="shared" si="55"/>
        <v>68.58967500000003</v>
      </c>
      <c r="P117" s="198">
        <f t="shared" si="55"/>
        <v>68.58967500000003</v>
      </c>
      <c r="Q117" s="198">
        <f t="shared" si="55"/>
        <v>68.58967500000003</v>
      </c>
      <c r="R117" s="198">
        <f t="shared" si="55"/>
        <v>68.58967500000003</v>
      </c>
      <c r="S117" s="198">
        <f t="shared" si="55"/>
        <v>68.58967500000003</v>
      </c>
      <c r="T117" s="198">
        <f t="shared" si="55"/>
        <v>68.58967500000003</v>
      </c>
      <c r="U117" s="198">
        <f t="shared" si="55"/>
        <v>68.58967500000003</v>
      </c>
      <c r="V117" s="198">
        <f t="shared" si="55"/>
        <v>68.58967500000003</v>
      </c>
      <c r="W117" s="198">
        <f t="shared" si="55"/>
        <v>68.58967500000003</v>
      </c>
      <c r="X117" s="198">
        <f t="shared" si="55"/>
        <v>68.58967500000003</v>
      </c>
      <c r="Y117" s="198">
        <f t="shared" si="55"/>
        <v>68.58967500000003</v>
      </c>
      <c r="Z117" s="198">
        <f t="shared" si="55"/>
        <v>68.58967500000003</v>
      </c>
      <c r="AA117" s="198">
        <f t="shared" si="55"/>
        <v>68.58967500000003</v>
      </c>
      <c r="AB117" s="198">
        <f t="shared" si="55"/>
        <v>68.58967500000003</v>
      </c>
      <c r="AC117" s="198">
        <f t="shared" si="55"/>
        <v>68.58967500000003</v>
      </c>
      <c r="AD117" s="198">
        <f t="shared" si="55"/>
        <v>68.58967500000003</v>
      </c>
      <c r="AE117" s="198">
        <f t="shared" si="55"/>
        <v>68.58967500000003</v>
      </c>
      <c r="AF117" s="198">
        <f t="shared" si="55"/>
        <v>68.58967500000003</v>
      </c>
    </row>
    <row r="118" spans="1:32" s="16" customFormat="1" ht="15">
      <c r="A118" s="247" t="s">
        <v>143</v>
      </c>
      <c r="B118" s="198"/>
      <c r="C118" s="198"/>
      <c r="D118" s="198"/>
      <c r="E118" s="198"/>
      <c r="F118" s="198"/>
      <c r="G118" s="198"/>
      <c r="H118" s="198">
        <f aca="true" t="shared" si="56" ref="H118:AF118">IF($G$112/$C$111*(H$5-$G$5)&gt;$G$112,0,$G$112/$C$111)</f>
        <v>73.39095225000003</v>
      </c>
      <c r="I118" s="198">
        <f t="shared" si="56"/>
        <v>73.39095225000003</v>
      </c>
      <c r="J118" s="198">
        <f t="shared" si="56"/>
        <v>73.39095225000003</v>
      </c>
      <c r="K118" s="198">
        <f t="shared" si="56"/>
        <v>73.39095225000003</v>
      </c>
      <c r="L118" s="198">
        <f t="shared" si="56"/>
        <v>73.39095225000003</v>
      </c>
      <c r="M118" s="198">
        <f t="shared" si="56"/>
        <v>73.39095225000003</v>
      </c>
      <c r="N118" s="198">
        <f t="shared" si="56"/>
        <v>73.39095225000003</v>
      </c>
      <c r="O118" s="198">
        <f t="shared" si="56"/>
        <v>73.39095225000003</v>
      </c>
      <c r="P118" s="198">
        <f t="shared" si="56"/>
        <v>73.39095225000003</v>
      </c>
      <c r="Q118" s="198">
        <f t="shared" si="56"/>
        <v>73.39095225000003</v>
      </c>
      <c r="R118" s="198">
        <f t="shared" si="56"/>
        <v>73.39095225000003</v>
      </c>
      <c r="S118" s="198">
        <f t="shared" si="56"/>
        <v>73.39095225000003</v>
      </c>
      <c r="T118" s="198">
        <f t="shared" si="56"/>
        <v>73.39095225000003</v>
      </c>
      <c r="U118" s="198">
        <f t="shared" si="56"/>
        <v>73.39095225000003</v>
      </c>
      <c r="V118" s="198">
        <f t="shared" si="56"/>
        <v>73.39095225000003</v>
      </c>
      <c r="W118" s="198">
        <f t="shared" si="56"/>
        <v>73.39095225000003</v>
      </c>
      <c r="X118" s="198">
        <f t="shared" si="56"/>
        <v>73.39095225000003</v>
      </c>
      <c r="Y118" s="198">
        <f t="shared" si="56"/>
        <v>73.39095225000003</v>
      </c>
      <c r="Z118" s="198">
        <f t="shared" si="56"/>
        <v>73.39095225000003</v>
      </c>
      <c r="AA118" s="198">
        <f t="shared" si="56"/>
        <v>73.39095225000003</v>
      </c>
      <c r="AB118" s="198">
        <f t="shared" si="56"/>
        <v>73.39095225000003</v>
      </c>
      <c r="AC118" s="198">
        <f t="shared" si="56"/>
        <v>73.39095225000003</v>
      </c>
      <c r="AD118" s="198">
        <f t="shared" si="56"/>
        <v>73.39095225000003</v>
      </c>
      <c r="AE118" s="198">
        <f t="shared" si="56"/>
        <v>73.39095225000003</v>
      </c>
      <c r="AF118" s="198">
        <f t="shared" si="56"/>
        <v>73.39095225000003</v>
      </c>
    </row>
    <row r="119" spans="1:32" s="16" customFormat="1" ht="15">
      <c r="A119" s="247" t="s">
        <v>144</v>
      </c>
      <c r="B119" s="198"/>
      <c r="C119" s="198"/>
      <c r="D119" s="198"/>
      <c r="E119" s="198"/>
      <c r="F119" s="198"/>
      <c r="G119" s="198"/>
      <c r="H119" s="198"/>
      <c r="I119" s="198">
        <f aca="true" t="shared" si="57" ref="I119:AF119">IF($H$112/$C$111*(I$5-$H$5)&gt;$H$112,0,$H$112/$C$111)</f>
        <v>78.52831890750004</v>
      </c>
      <c r="J119" s="198">
        <f t="shared" si="57"/>
        <v>78.52831890750004</v>
      </c>
      <c r="K119" s="198">
        <f t="shared" si="57"/>
        <v>78.52831890750004</v>
      </c>
      <c r="L119" s="198">
        <f t="shared" si="57"/>
        <v>78.52831890750004</v>
      </c>
      <c r="M119" s="198">
        <f t="shared" si="57"/>
        <v>78.52831890750004</v>
      </c>
      <c r="N119" s="198">
        <f t="shared" si="57"/>
        <v>78.52831890750004</v>
      </c>
      <c r="O119" s="198">
        <f t="shared" si="57"/>
        <v>78.52831890750004</v>
      </c>
      <c r="P119" s="198">
        <f t="shared" si="57"/>
        <v>78.52831890750004</v>
      </c>
      <c r="Q119" s="198">
        <f t="shared" si="57"/>
        <v>78.52831890750004</v>
      </c>
      <c r="R119" s="198">
        <f t="shared" si="57"/>
        <v>78.52831890750004</v>
      </c>
      <c r="S119" s="198">
        <f t="shared" si="57"/>
        <v>78.52831890750004</v>
      </c>
      <c r="T119" s="198">
        <f t="shared" si="57"/>
        <v>78.52831890750004</v>
      </c>
      <c r="U119" s="198">
        <f t="shared" si="57"/>
        <v>78.52831890750004</v>
      </c>
      <c r="V119" s="198">
        <f t="shared" si="57"/>
        <v>78.52831890750004</v>
      </c>
      <c r="W119" s="198">
        <f t="shared" si="57"/>
        <v>78.52831890750004</v>
      </c>
      <c r="X119" s="198">
        <f t="shared" si="57"/>
        <v>78.52831890750004</v>
      </c>
      <c r="Y119" s="198">
        <f t="shared" si="57"/>
        <v>78.52831890750004</v>
      </c>
      <c r="Z119" s="198">
        <f t="shared" si="57"/>
        <v>78.52831890750004</v>
      </c>
      <c r="AA119" s="198">
        <f t="shared" si="57"/>
        <v>78.52831890750004</v>
      </c>
      <c r="AB119" s="198">
        <f t="shared" si="57"/>
        <v>78.52831890750004</v>
      </c>
      <c r="AC119" s="198">
        <f t="shared" si="57"/>
        <v>78.52831890750004</v>
      </c>
      <c r="AD119" s="198">
        <f t="shared" si="57"/>
        <v>78.52831890750004</v>
      </c>
      <c r="AE119" s="198">
        <f t="shared" si="57"/>
        <v>78.52831890750004</v>
      </c>
      <c r="AF119" s="198">
        <f t="shared" si="57"/>
        <v>78.52831890750004</v>
      </c>
    </row>
    <row r="120" spans="1:32" s="16" customFormat="1" ht="15">
      <c r="A120" s="247" t="s">
        <v>145</v>
      </c>
      <c r="B120" s="198"/>
      <c r="C120" s="198"/>
      <c r="D120" s="198"/>
      <c r="E120" s="198"/>
      <c r="F120" s="198"/>
      <c r="G120" s="198"/>
      <c r="H120" s="198"/>
      <c r="I120" s="198"/>
      <c r="J120" s="198">
        <f aca="true" t="shared" si="58" ref="J120:AF120">IF($I$112/$C$111*(J$5-$I$5)&gt;$I$112,0,$I$112/$C$111)</f>
        <v>84.02530123102504</v>
      </c>
      <c r="K120" s="198">
        <f t="shared" si="58"/>
        <v>84.02530123102504</v>
      </c>
      <c r="L120" s="198">
        <f t="shared" si="58"/>
        <v>84.02530123102504</v>
      </c>
      <c r="M120" s="198">
        <f t="shared" si="58"/>
        <v>84.02530123102504</v>
      </c>
      <c r="N120" s="198">
        <f t="shared" si="58"/>
        <v>84.02530123102504</v>
      </c>
      <c r="O120" s="198">
        <f t="shared" si="58"/>
        <v>84.02530123102504</v>
      </c>
      <c r="P120" s="198">
        <f t="shared" si="58"/>
        <v>84.02530123102504</v>
      </c>
      <c r="Q120" s="198">
        <f t="shared" si="58"/>
        <v>84.02530123102504</v>
      </c>
      <c r="R120" s="198">
        <f t="shared" si="58"/>
        <v>84.02530123102504</v>
      </c>
      <c r="S120" s="198">
        <f t="shared" si="58"/>
        <v>84.02530123102504</v>
      </c>
      <c r="T120" s="198">
        <f t="shared" si="58"/>
        <v>84.02530123102504</v>
      </c>
      <c r="U120" s="198">
        <f t="shared" si="58"/>
        <v>84.02530123102504</v>
      </c>
      <c r="V120" s="198">
        <f t="shared" si="58"/>
        <v>84.02530123102504</v>
      </c>
      <c r="W120" s="198">
        <f t="shared" si="58"/>
        <v>84.02530123102504</v>
      </c>
      <c r="X120" s="198">
        <f t="shared" si="58"/>
        <v>84.02530123102504</v>
      </c>
      <c r="Y120" s="198">
        <f t="shared" si="58"/>
        <v>84.02530123102504</v>
      </c>
      <c r="Z120" s="198">
        <f t="shared" si="58"/>
        <v>84.02530123102504</v>
      </c>
      <c r="AA120" s="198">
        <f t="shared" si="58"/>
        <v>84.02530123102504</v>
      </c>
      <c r="AB120" s="198">
        <f t="shared" si="58"/>
        <v>84.02530123102504</v>
      </c>
      <c r="AC120" s="198">
        <f t="shared" si="58"/>
        <v>84.02530123102504</v>
      </c>
      <c r="AD120" s="198">
        <f t="shared" si="58"/>
        <v>84.02530123102504</v>
      </c>
      <c r="AE120" s="198">
        <f t="shared" si="58"/>
        <v>84.02530123102504</v>
      </c>
      <c r="AF120" s="198">
        <f t="shared" si="58"/>
        <v>84.02530123102504</v>
      </c>
    </row>
    <row r="121" spans="1:32" s="16" customFormat="1" ht="15">
      <c r="A121" s="247" t="s">
        <v>146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>
        <f aca="true" t="shared" si="59" ref="K121:AF121">IF($J$112/$C$111*(K$5-$J$5)&gt;$J$112,0,$J$112/$C$111)</f>
        <v>89.9070723171968</v>
      </c>
      <c r="L121" s="198">
        <f t="shared" si="59"/>
        <v>89.9070723171968</v>
      </c>
      <c r="M121" s="198">
        <f t="shared" si="59"/>
        <v>89.9070723171968</v>
      </c>
      <c r="N121" s="198">
        <f t="shared" si="59"/>
        <v>89.9070723171968</v>
      </c>
      <c r="O121" s="198">
        <f t="shared" si="59"/>
        <v>89.9070723171968</v>
      </c>
      <c r="P121" s="198">
        <f t="shared" si="59"/>
        <v>89.9070723171968</v>
      </c>
      <c r="Q121" s="198">
        <f t="shared" si="59"/>
        <v>89.9070723171968</v>
      </c>
      <c r="R121" s="198">
        <f t="shared" si="59"/>
        <v>89.9070723171968</v>
      </c>
      <c r="S121" s="198">
        <f t="shared" si="59"/>
        <v>89.9070723171968</v>
      </c>
      <c r="T121" s="198">
        <f t="shared" si="59"/>
        <v>89.9070723171968</v>
      </c>
      <c r="U121" s="198">
        <f t="shared" si="59"/>
        <v>89.9070723171968</v>
      </c>
      <c r="V121" s="198">
        <f t="shared" si="59"/>
        <v>89.9070723171968</v>
      </c>
      <c r="W121" s="198">
        <f t="shared" si="59"/>
        <v>89.9070723171968</v>
      </c>
      <c r="X121" s="198">
        <f t="shared" si="59"/>
        <v>89.9070723171968</v>
      </c>
      <c r="Y121" s="198">
        <f t="shared" si="59"/>
        <v>89.9070723171968</v>
      </c>
      <c r="Z121" s="198">
        <f t="shared" si="59"/>
        <v>89.9070723171968</v>
      </c>
      <c r="AA121" s="198">
        <f t="shared" si="59"/>
        <v>89.9070723171968</v>
      </c>
      <c r="AB121" s="198">
        <f t="shared" si="59"/>
        <v>89.9070723171968</v>
      </c>
      <c r="AC121" s="198">
        <f t="shared" si="59"/>
        <v>89.9070723171968</v>
      </c>
      <c r="AD121" s="198">
        <f t="shared" si="59"/>
        <v>89.9070723171968</v>
      </c>
      <c r="AE121" s="198">
        <f t="shared" si="59"/>
        <v>89.9070723171968</v>
      </c>
      <c r="AF121" s="198">
        <f t="shared" si="59"/>
        <v>89.9070723171968</v>
      </c>
    </row>
    <row r="122" spans="1:32" s="16" customFormat="1" ht="15">
      <c r="A122" s="247" t="s">
        <v>147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>
        <f aca="true" t="shared" si="60" ref="L122:AF122">IF($K$112/$C$111*(L$5-$K$5)&gt;$K$112,0,$K$112/$C$111)</f>
        <v>96.2005673794006</v>
      </c>
      <c r="M122" s="198">
        <f t="shared" si="60"/>
        <v>96.2005673794006</v>
      </c>
      <c r="N122" s="198">
        <f t="shared" si="60"/>
        <v>96.2005673794006</v>
      </c>
      <c r="O122" s="198">
        <f t="shared" si="60"/>
        <v>96.2005673794006</v>
      </c>
      <c r="P122" s="198">
        <f t="shared" si="60"/>
        <v>96.2005673794006</v>
      </c>
      <c r="Q122" s="198">
        <f t="shared" si="60"/>
        <v>96.2005673794006</v>
      </c>
      <c r="R122" s="198">
        <f t="shared" si="60"/>
        <v>96.2005673794006</v>
      </c>
      <c r="S122" s="198">
        <f t="shared" si="60"/>
        <v>96.2005673794006</v>
      </c>
      <c r="T122" s="198">
        <f t="shared" si="60"/>
        <v>96.2005673794006</v>
      </c>
      <c r="U122" s="198">
        <f t="shared" si="60"/>
        <v>96.2005673794006</v>
      </c>
      <c r="V122" s="198">
        <f t="shared" si="60"/>
        <v>96.2005673794006</v>
      </c>
      <c r="W122" s="198">
        <f t="shared" si="60"/>
        <v>96.2005673794006</v>
      </c>
      <c r="X122" s="198">
        <f t="shared" si="60"/>
        <v>96.2005673794006</v>
      </c>
      <c r="Y122" s="198">
        <f t="shared" si="60"/>
        <v>96.2005673794006</v>
      </c>
      <c r="Z122" s="198">
        <f t="shared" si="60"/>
        <v>96.2005673794006</v>
      </c>
      <c r="AA122" s="198">
        <f t="shared" si="60"/>
        <v>96.2005673794006</v>
      </c>
      <c r="AB122" s="198">
        <f t="shared" si="60"/>
        <v>96.2005673794006</v>
      </c>
      <c r="AC122" s="198">
        <f t="shared" si="60"/>
        <v>96.2005673794006</v>
      </c>
      <c r="AD122" s="198">
        <f t="shared" si="60"/>
        <v>96.2005673794006</v>
      </c>
      <c r="AE122" s="198">
        <f t="shared" si="60"/>
        <v>96.2005673794006</v>
      </c>
      <c r="AF122" s="198">
        <f t="shared" si="60"/>
        <v>96.2005673794006</v>
      </c>
    </row>
    <row r="123" spans="1:32" s="16" customFormat="1" ht="13.5" customHeight="1">
      <c r="A123" s="247" t="s">
        <v>148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>
        <f aca="true" t="shared" si="61" ref="M123:AF123">IF($L$112/$C$111*(M$5-$L$5)&gt;$L$112,0,$L$112/$C$111)</f>
        <v>102.93460709595863</v>
      </c>
      <c r="N123" s="198">
        <f t="shared" si="61"/>
        <v>102.93460709595863</v>
      </c>
      <c r="O123" s="198">
        <f t="shared" si="61"/>
        <v>102.93460709595863</v>
      </c>
      <c r="P123" s="198">
        <f t="shared" si="61"/>
        <v>102.93460709595863</v>
      </c>
      <c r="Q123" s="198">
        <f t="shared" si="61"/>
        <v>102.93460709595863</v>
      </c>
      <c r="R123" s="198">
        <f t="shared" si="61"/>
        <v>102.93460709595863</v>
      </c>
      <c r="S123" s="198">
        <f t="shared" si="61"/>
        <v>102.93460709595863</v>
      </c>
      <c r="T123" s="198">
        <f t="shared" si="61"/>
        <v>102.93460709595863</v>
      </c>
      <c r="U123" s="198">
        <f t="shared" si="61"/>
        <v>102.93460709595863</v>
      </c>
      <c r="V123" s="198">
        <f t="shared" si="61"/>
        <v>102.93460709595863</v>
      </c>
      <c r="W123" s="198">
        <f t="shared" si="61"/>
        <v>102.93460709595863</v>
      </c>
      <c r="X123" s="198">
        <f t="shared" si="61"/>
        <v>102.93460709595863</v>
      </c>
      <c r="Y123" s="198">
        <f t="shared" si="61"/>
        <v>102.93460709595863</v>
      </c>
      <c r="Z123" s="198">
        <f t="shared" si="61"/>
        <v>102.93460709595863</v>
      </c>
      <c r="AA123" s="198">
        <f t="shared" si="61"/>
        <v>102.93460709595863</v>
      </c>
      <c r="AB123" s="198">
        <f t="shared" si="61"/>
        <v>102.93460709595863</v>
      </c>
      <c r="AC123" s="198">
        <f t="shared" si="61"/>
        <v>102.93460709595863</v>
      </c>
      <c r="AD123" s="198">
        <f t="shared" si="61"/>
        <v>102.93460709595863</v>
      </c>
      <c r="AE123" s="198">
        <f t="shared" si="61"/>
        <v>102.93460709595863</v>
      </c>
      <c r="AF123" s="198">
        <f t="shared" si="61"/>
        <v>102.93460709595863</v>
      </c>
    </row>
    <row r="124" spans="1:32" s="16" customFormat="1" ht="16.5" customHeight="1">
      <c r="A124" s="247" t="s">
        <v>172</v>
      </c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>
        <f aca="true" t="shared" si="62" ref="N124:AF124">IF($M$112/$C$111*(N$5-$M$5)&gt;$M$112,0,$M$112/$C$111)</f>
        <v>146.85337279023435</v>
      </c>
      <c r="O124" s="198">
        <f t="shared" si="62"/>
        <v>146.85337279023435</v>
      </c>
      <c r="P124" s="198">
        <f t="shared" si="62"/>
        <v>146.85337279023435</v>
      </c>
      <c r="Q124" s="198">
        <f t="shared" si="62"/>
        <v>146.85337279023435</v>
      </c>
      <c r="R124" s="198">
        <f t="shared" si="62"/>
        <v>146.85337279023435</v>
      </c>
      <c r="S124" s="198">
        <f t="shared" si="62"/>
        <v>146.85337279023435</v>
      </c>
      <c r="T124" s="198">
        <f t="shared" si="62"/>
        <v>146.85337279023435</v>
      </c>
      <c r="U124" s="198">
        <f t="shared" si="62"/>
        <v>146.85337279023435</v>
      </c>
      <c r="V124" s="198">
        <f t="shared" si="62"/>
        <v>146.85337279023435</v>
      </c>
      <c r="W124" s="198">
        <f t="shared" si="62"/>
        <v>146.85337279023435</v>
      </c>
      <c r="X124" s="198">
        <f t="shared" si="62"/>
        <v>146.85337279023435</v>
      </c>
      <c r="Y124" s="198">
        <f t="shared" si="62"/>
        <v>146.85337279023435</v>
      </c>
      <c r="Z124" s="198">
        <f t="shared" si="62"/>
        <v>146.85337279023435</v>
      </c>
      <c r="AA124" s="198">
        <f t="shared" si="62"/>
        <v>146.85337279023435</v>
      </c>
      <c r="AB124" s="198">
        <f t="shared" si="62"/>
        <v>146.85337279023435</v>
      </c>
      <c r="AC124" s="198">
        <f t="shared" si="62"/>
        <v>146.85337279023435</v>
      </c>
      <c r="AD124" s="198">
        <f t="shared" si="62"/>
        <v>146.85337279023435</v>
      </c>
      <c r="AE124" s="198">
        <f t="shared" si="62"/>
        <v>146.85337279023435</v>
      </c>
      <c r="AF124" s="198">
        <f t="shared" si="62"/>
        <v>146.85337279023435</v>
      </c>
    </row>
    <row r="125" spans="1:32" s="16" customFormat="1" ht="13.5" customHeight="1">
      <c r="A125" s="247" t="s">
        <v>173</v>
      </c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>
        <f aca="true" t="shared" si="63" ref="O125:AF125">IF($N$112/$C$111*(O$5-$N$5)&gt;$N$112,0,$N$112/$C$111)</f>
        <v>157.13310888555074</v>
      </c>
      <c r="P125" s="198">
        <f t="shared" si="63"/>
        <v>157.13310888555074</v>
      </c>
      <c r="Q125" s="198">
        <f t="shared" si="63"/>
        <v>157.13310888555074</v>
      </c>
      <c r="R125" s="198">
        <f t="shared" si="63"/>
        <v>157.13310888555074</v>
      </c>
      <c r="S125" s="198">
        <f t="shared" si="63"/>
        <v>157.13310888555074</v>
      </c>
      <c r="T125" s="198">
        <f t="shared" si="63"/>
        <v>157.13310888555074</v>
      </c>
      <c r="U125" s="198">
        <f t="shared" si="63"/>
        <v>157.13310888555074</v>
      </c>
      <c r="V125" s="198">
        <f t="shared" si="63"/>
        <v>157.13310888555074</v>
      </c>
      <c r="W125" s="198">
        <f t="shared" si="63"/>
        <v>157.13310888555074</v>
      </c>
      <c r="X125" s="198">
        <f t="shared" si="63"/>
        <v>157.13310888555074</v>
      </c>
      <c r="Y125" s="198">
        <f t="shared" si="63"/>
        <v>157.13310888555074</v>
      </c>
      <c r="Z125" s="198">
        <f t="shared" si="63"/>
        <v>157.13310888555074</v>
      </c>
      <c r="AA125" s="198">
        <f t="shared" si="63"/>
        <v>157.13310888555074</v>
      </c>
      <c r="AB125" s="198">
        <f t="shared" si="63"/>
        <v>157.13310888555074</v>
      </c>
      <c r="AC125" s="198">
        <f t="shared" si="63"/>
        <v>157.13310888555074</v>
      </c>
      <c r="AD125" s="198">
        <f t="shared" si="63"/>
        <v>157.13310888555074</v>
      </c>
      <c r="AE125" s="198">
        <f t="shared" si="63"/>
        <v>157.13310888555074</v>
      </c>
      <c r="AF125" s="198">
        <f t="shared" si="63"/>
        <v>157.13310888555074</v>
      </c>
    </row>
    <row r="126" spans="1:32" s="16" customFormat="1" ht="13.5" customHeight="1">
      <c r="A126" s="247" t="s">
        <v>174</v>
      </c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>
        <f aca="true" t="shared" si="64" ref="P126:AF126">IF($O$112/$C$111*(P$5-$O$5)&gt;$O$112,0,$O$112/$C$111)</f>
        <v>168.1324265075393</v>
      </c>
      <c r="Q126" s="198">
        <f t="shared" si="64"/>
        <v>168.1324265075393</v>
      </c>
      <c r="R126" s="198">
        <f t="shared" si="64"/>
        <v>168.1324265075393</v>
      </c>
      <c r="S126" s="198">
        <f t="shared" si="64"/>
        <v>168.1324265075393</v>
      </c>
      <c r="T126" s="198">
        <f t="shared" si="64"/>
        <v>168.1324265075393</v>
      </c>
      <c r="U126" s="198">
        <f t="shared" si="64"/>
        <v>168.1324265075393</v>
      </c>
      <c r="V126" s="198">
        <f t="shared" si="64"/>
        <v>168.1324265075393</v>
      </c>
      <c r="W126" s="198">
        <f t="shared" si="64"/>
        <v>168.1324265075393</v>
      </c>
      <c r="X126" s="198">
        <f t="shared" si="64"/>
        <v>168.1324265075393</v>
      </c>
      <c r="Y126" s="198">
        <f t="shared" si="64"/>
        <v>168.1324265075393</v>
      </c>
      <c r="Z126" s="198">
        <f t="shared" si="64"/>
        <v>168.1324265075393</v>
      </c>
      <c r="AA126" s="198">
        <f t="shared" si="64"/>
        <v>168.1324265075393</v>
      </c>
      <c r="AB126" s="198">
        <f t="shared" si="64"/>
        <v>168.1324265075393</v>
      </c>
      <c r="AC126" s="198">
        <f t="shared" si="64"/>
        <v>168.1324265075393</v>
      </c>
      <c r="AD126" s="198">
        <f t="shared" si="64"/>
        <v>168.1324265075393</v>
      </c>
      <c r="AE126" s="198">
        <f t="shared" si="64"/>
        <v>168.1324265075393</v>
      </c>
      <c r="AF126" s="198">
        <f t="shared" si="64"/>
        <v>168.1324265075393</v>
      </c>
    </row>
    <row r="127" spans="1:32" s="16" customFormat="1" ht="13.5" customHeight="1">
      <c r="A127" s="247" t="s">
        <v>175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>
        <f aca="true" t="shared" si="65" ref="Q127:AF127">IF($P$112/$C$111*(Q$5-$P$5)&gt;$P$112,0,$P$112/$C$111)</f>
        <v>179.90169636306706</v>
      </c>
      <c r="R127" s="198">
        <f t="shared" si="65"/>
        <v>179.90169636306706</v>
      </c>
      <c r="S127" s="198">
        <f t="shared" si="65"/>
        <v>179.90169636306706</v>
      </c>
      <c r="T127" s="198">
        <f t="shared" si="65"/>
        <v>179.90169636306706</v>
      </c>
      <c r="U127" s="198">
        <f t="shared" si="65"/>
        <v>179.90169636306706</v>
      </c>
      <c r="V127" s="198">
        <f t="shared" si="65"/>
        <v>179.90169636306706</v>
      </c>
      <c r="W127" s="198">
        <f t="shared" si="65"/>
        <v>179.90169636306706</v>
      </c>
      <c r="X127" s="198">
        <f t="shared" si="65"/>
        <v>179.90169636306706</v>
      </c>
      <c r="Y127" s="198">
        <f t="shared" si="65"/>
        <v>179.90169636306706</v>
      </c>
      <c r="Z127" s="198">
        <f t="shared" si="65"/>
        <v>179.90169636306706</v>
      </c>
      <c r="AA127" s="198">
        <f t="shared" si="65"/>
        <v>179.90169636306706</v>
      </c>
      <c r="AB127" s="198">
        <f t="shared" si="65"/>
        <v>179.90169636306706</v>
      </c>
      <c r="AC127" s="198">
        <f t="shared" si="65"/>
        <v>179.90169636306706</v>
      </c>
      <c r="AD127" s="198">
        <f t="shared" si="65"/>
        <v>179.90169636306706</v>
      </c>
      <c r="AE127" s="198">
        <f t="shared" si="65"/>
        <v>179.90169636306706</v>
      </c>
      <c r="AF127" s="198">
        <f t="shared" si="65"/>
        <v>179.90169636306706</v>
      </c>
    </row>
    <row r="128" spans="1:32" s="16" customFormat="1" ht="13.5" customHeight="1">
      <c r="A128" s="247" t="s">
        <v>176</v>
      </c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>
        <f aca="true" t="shared" si="66" ref="R128:AF128">IF($Q$112/$C$111*(R$5-$Q$5)&gt;$Q$112,0,$Q$112/$C$111)</f>
        <v>192.4948151084818</v>
      </c>
      <c r="S128" s="198">
        <f t="shared" si="66"/>
        <v>192.4948151084818</v>
      </c>
      <c r="T128" s="198">
        <f t="shared" si="66"/>
        <v>192.4948151084818</v>
      </c>
      <c r="U128" s="198">
        <f t="shared" si="66"/>
        <v>192.4948151084818</v>
      </c>
      <c r="V128" s="198">
        <f t="shared" si="66"/>
        <v>192.4948151084818</v>
      </c>
      <c r="W128" s="198">
        <f t="shared" si="66"/>
        <v>192.4948151084818</v>
      </c>
      <c r="X128" s="198">
        <f t="shared" si="66"/>
        <v>192.4948151084818</v>
      </c>
      <c r="Y128" s="198">
        <f t="shared" si="66"/>
        <v>192.4948151084818</v>
      </c>
      <c r="Z128" s="198">
        <f t="shared" si="66"/>
        <v>192.4948151084818</v>
      </c>
      <c r="AA128" s="198">
        <f t="shared" si="66"/>
        <v>192.4948151084818</v>
      </c>
      <c r="AB128" s="198">
        <f t="shared" si="66"/>
        <v>192.4948151084818</v>
      </c>
      <c r="AC128" s="198">
        <f t="shared" si="66"/>
        <v>192.4948151084818</v>
      </c>
      <c r="AD128" s="198">
        <f t="shared" si="66"/>
        <v>192.4948151084818</v>
      </c>
      <c r="AE128" s="198">
        <f t="shared" si="66"/>
        <v>192.4948151084818</v>
      </c>
      <c r="AF128" s="198">
        <f t="shared" si="66"/>
        <v>192.4948151084818</v>
      </c>
    </row>
    <row r="129" spans="1:32" s="16" customFormat="1" ht="13.5" customHeight="1">
      <c r="A129" s="247" t="s">
        <v>177</v>
      </c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>
        <f aca="true" t="shared" si="67" ref="S129:AF129">IF($R$112/$C$111*(S$5-$R$5)&gt;$R$112,0,$R$112/$C$111)</f>
        <v>205.9694521660755</v>
      </c>
      <c r="T129" s="198">
        <f t="shared" si="67"/>
        <v>205.9694521660755</v>
      </c>
      <c r="U129" s="198">
        <f t="shared" si="67"/>
        <v>205.9694521660755</v>
      </c>
      <c r="V129" s="198">
        <f t="shared" si="67"/>
        <v>205.9694521660755</v>
      </c>
      <c r="W129" s="198">
        <f t="shared" si="67"/>
        <v>205.9694521660755</v>
      </c>
      <c r="X129" s="198">
        <f t="shared" si="67"/>
        <v>205.9694521660755</v>
      </c>
      <c r="Y129" s="198">
        <f t="shared" si="67"/>
        <v>205.9694521660755</v>
      </c>
      <c r="Z129" s="198">
        <f t="shared" si="67"/>
        <v>205.9694521660755</v>
      </c>
      <c r="AA129" s="198">
        <f t="shared" si="67"/>
        <v>205.9694521660755</v>
      </c>
      <c r="AB129" s="198">
        <f t="shared" si="67"/>
        <v>205.9694521660755</v>
      </c>
      <c r="AC129" s="198">
        <f t="shared" si="67"/>
        <v>205.9694521660755</v>
      </c>
      <c r="AD129" s="198">
        <f t="shared" si="67"/>
        <v>205.9694521660755</v>
      </c>
      <c r="AE129" s="198">
        <f t="shared" si="67"/>
        <v>205.9694521660755</v>
      </c>
      <c r="AF129" s="198">
        <f t="shared" si="67"/>
        <v>205.9694521660755</v>
      </c>
    </row>
    <row r="130" spans="1:32" s="16" customFormat="1" ht="13.5" customHeight="1">
      <c r="A130" s="247" t="s">
        <v>178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>
        <f aca="true" t="shared" si="68" ref="T130:AF130">IF($S$112/$C$111*(T$5-$S$5)&gt;$S$112,0,$S$112/$C$111)</f>
        <v>220.38731381770083</v>
      </c>
      <c r="U130" s="198">
        <f t="shared" si="68"/>
        <v>220.38731381770083</v>
      </c>
      <c r="V130" s="198">
        <f t="shared" si="68"/>
        <v>220.38731381770083</v>
      </c>
      <c r="W130" s="198">
        <f t="shared" si="68"/>
        <v>220.38731381770083</v>
      </c>
      <c r="X130" s="198">
        <f t="shared" si="68"/>
        <v>220.38731381770083</v>
      </c>
      <c r="Y130" s="198">
        <f t="shared" si="68"/>
        <v>220.38731381770083</v>
      </c>
      <c r="Z130" s="198">
        <f t="shared" si="68"/>
        <v>220.38731381770083</v>
      </c>
      <c r="AA130" s="198">
        <f t="shared" si="68"/>
        <v>220.38731381770083</v>
      </c>
      <c r="AB130" s="198">
        <f t="shared" si="68"/>
        <v>220.38731381770083</v>
      </c>
      <c r="AC130" s="198">
        <f t="shared" si="68"/>
        <v>220.38731381770083</v>
      </c>
      <c r="AD130" s="198">
        <f t="shared" si="68"/>
        <v>220.38731381770083</v>
      </c>
      <c r="AE130" s="198">
        <f t="shared" si="68"/>
        <v>220.38731381770083</v>
      </c>
      <c r="AF130" s="198">
        <f t="shared" si="68"/>
        <v>220.38731381770083</v>
      </c>
    </row>
    <row r="131" spans="1:32" s="16" customFormat="1" ht="13.5" customHeight="1">
      <c r="A131" s="247" t="s">
        <v>179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>
        <f aca="true" t="shared" si="69" ref="U131:AF131">IF($T$112/$C$111*(U$5-$T$5)&gt;$T$112,0,$T$112/$C$111)</f>
        <v>235.81442578493989</v>
      </c>
      <c r="V131" s="198">
        <f t="shared" si="69"/>
        <v>235.81442578493989</v>
      </c>
      <c r="W131" s="198">
        <f t="shared" si="69"/>
        <v>235.81442578493989</v>
      </c>
      <c r="X131" s="198">
        <f t="shared" si="69"/>
        <v>235.81442578493989</v>
      </c>
      <c r="Y131" s="198">
        <f t="shared" si="69"/>
        <v>235.81442578493989</v>
      </c>
      <c r="Z131" s="198">
        <f t="shared" si="69"/>
        <v>235.81442578493989</v>
      </c>
      <c r="AA131" s="198">
        <f t="shared" si="69"/>
        <v>235.81442578493989</v>
      </c>
      <c r="AB131" s="198">
        <f t="shared" si="69"/>
        <v>235.81442578493989</v>
      </c>
      <c r="AC131" s="198">
        <f t="shared" si="69"/>
        <v>235.81442578493989</v>
      </c>
      <c r="AD131" s="198">
        <f t="shared" si="69"/>
        <v>235.81442578493989</v>
      </c>
      <c r="AE131" s="198">
        <f t="shared" si="69"/>
        <v>235.81442578493989</v>
      </c>
      <c r="AF131" s="198">
        <f t="shared" si="69"/>
        <v>235.81442578493989</v>
      </c>
    </row>
    <row r="132" spans="1:32" s="16" customFormat="1" ht="13.5" customHeight="1">
      <c r="A132" s="247" t="s">
        <v>180</v>
      </c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>
        <f aca="true" t="shared" si="70" ref="V132:AF132">IF($U$112/$C$111*(V$5-$U$5)&gt;$U$112,0,$U$112/$C$111)</f>
        <v>252.3214355898857</v>
      </c>
      <c r="W132" s="198">
        <f t="shared" si="70"/>
        <v>252.3214355898857</v>
      </c>
      <c r="X132" s="198">
        <f t="shared" si="70"/>
        <v>252.3214355898857</v>
      </c>
      <c r="Y132" s="198">
        <f t="shared" si="70"/>
        <v>252.3214355898857</v>
      </c>
      <c r="Z132" s="198">
        <f t="shared" si="70"/>
        <v>252.3214355898857</v>
      </c>
      <c r="AA132" s="198">
        <f t="shared" si="70"/>
        <v>252.3214355898857</v>
      </c>
      <c r="AB132" s="198">
        <f t="shared" si="70"/>
        <v>252.3214355898857</v>
      </c>
      <c r="AC132" s="198">
        <f t="shared" si="70"/>
        <v>252.3214355898857</v>
      </c>
      <c r="AD132" s="198">
        <f t="shared" si="70"/>
        <v>252.3214355898857</v>
      </c>
      <c r="AE132" s="198">
        <f t="shared" si="70"/>
        <v>252.3214355898857</v>
      </c>
      <c r="AF132" s="198">
        <f t="shared" si="70"/>
        <v>252.3214355898857</v>
      </c>
    </row>
    <row r="133" spans="1:32" s="16" customFormat="1" ht="13.5" customHeight="1">
      <c r="A133" s="247" t="s">
        <v>181</v>
      </c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>
        <f aca="true" t="shared" si="71" ref="W133:AF133">IF($V$112/$C$111*(W$5-$V$5)&gt;$V$112,0,$V$112/$C$111)</f>
        <v>269.9839360811777</v>
      </c>
      <c r="X133" s="198">
        <f t="shared" si="71"/>
        <v>269.9839360811777</v>
      </c>
      <c r="Y133" s="198">
        <f t="shared" si="71"/>
        <v>269.9839360811777</v>
      </c>
      <c r="Z133" s="198">
        <f t="shared" si="71"/>
        <v>269.9839360811777</v>
      </c>
      <c r="AA133" s="198">
        <f t="shared" si="71"/>
        <v>269.9839360811777</v>
      </c>
      <c r="AB133" s="198">
        <f t="shared" si="71"/>
        <v>269.9839360811777</v>
      </c>
      <c r="AC133" s="198">
        <f t="shared" si="71"/>
        <v>269.9839360811777</v>
      </c>
      <c r="AD133" s="198">
        <f t="shared" si="71"/>
        <v>269.9839360811777</v>
      </c>
      <c r="AE133" s="198">
        <f t="shared" si="71"/>
        <v>269.9839360811777</v>
      </c>
      <c r="AF133" s="198">
        <f t="shared" si="71"/>
        <v>269.9839360811777</v>
      </c>
    </row>
    <row r="134" spans="1:32" s="16" customFormat="1" ht="13.5" customHeight="1">
      <c r="A134" s="247" t="s">
        <v>190</v>
      </c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>
        <f aca="true" t="shared" si="72" ref="X134:AF134">IF($W$112/$C$111*(X$5-$W$5)&gt;$W$112,0,$W$112/$C$111)</f>
        <v>288.8828116068601</v>
      </c>
      <c r="Y134" s="198">
        <f t="shared" si="72"/>
        <v>288.8828116068601</v>
      </c>
      <c r="Z134" s="198">
        <f t="shared" si="72"/>
        <v>288.8828116068601</v>
      </c>
      <c r="AA134" s="198">
        <f t="shared" si="72"/>
        <v>288.8828116068601</v>
      </c>
      <c r="AB134" s="198">
        <f t="shared" si="72"/>
        <v>288.8828116068601</v>
      </c>
      <c r="AC134" s="198">
        <f t="shared" si="72"/>
        <v>288.8828116068601</v>
      </c>
      <c r="AD134" s="198">
        <f t="shared" si="72"/>
        <v>288.8828116068601</v>
      </c>
      <c r="AE134" s="198">
        <f t="shared" si="72"/>
        <v>288.8828116068601</v>
      </c>
      <c r="AF134" s="198">
        <f t="shared" si="72"/>
        <v>288.8828116068601</v>
      </c>
    </row>
    <row r="135" spans="1:32" s="16" customFormat="1" ht="13.5" customHeight="1">
      <c r="A135" s="247" t="s">
        <v>182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>
        <f aca="true" t="shared" si="73" ref="Y135:AF135">IF($X$112/$C$111*(Y$5-$X$5)&gt;$X$112,0,$X$112/$C$111)</f>
        <v>309.10460841934037</v>
      </c>
      <c r="Z135" s="198">
        <f t="shared" si="73"/>
        <v>309.10460841934037</v>
      </c>
      <c r="AA135" s="198">
        <f t="shared" si="73"/>
        <v>309.10460841934037</v>
      </c>
      <c r="AB135" s="198">
        <f t="shared" si="73"/>
        <v>309.10460841934037</v>
      </c>
      <c r="AC135" s="198">
        <f t="shared" si="73"/>
        <v>309.10460841934037</v>
      </c>
      <c r="AD135" s="198">
        <f t="shared" si="73"/>
        <v>309.10460841934037</v>
      </c>
      <c r="AE135" s="198">
        <f t="shared" si="73"/>
        <v>309.10460841934037</v>
      </c>
      <c r="AF135" s="198">
        <f t="shared" si="73"/>
        <v>309.10460841934037</v>
      </c>
    </row>
    <row r="136" spans="1:32" s="16" customFormat="1" ht="13.5" customHeight="1">
      <c r="A136" s="247" t="s">
        <v>183</v>
      </c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>
        <f aca="true" t="shared" si="74" ref="Z136:AF136">IF($Y$112/$C$111*(Z$5-$Y$5)&gt;$Y$112,0,$Y$112/$C$111)</f>
        <v>330.74193100869417</v>
      </c>
      <c r="AA136" s="198">
        <f t="shared" si="74"/>
        <v>330.74193100869417</v>
      </c>
      <c r="AB136" s="198">
        <f t="shared" si="74"/>
        <v>330.74193100869417</v>
      </c>
      <c r="AC136" s="198">
        <f t="shared" si="74"/>
        <v>330.74193100869417</v>
      </c>
      <c r="AD136" s="198">
        <f t="shared" si="74"/>
        <v>330.74193100869417</v>
      </c>
      <c r="AE136" s="198">
        <f t="shared" si="74"/>
        <v>330.74193100869417</v>
      </c>
      <c r="AF136" s="198">
        <f t="shared" si="74"/>
        <v>330.74193100869417</v>
      </c>
    </row>
    <row r="137" spans="1:32" s="16" customFormat="1" ht="13.5" customHeight="1">
      <c r="A137" s="247" t="s">
        <v>184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>
        <f aca="true" t="shared" si="75" ref="AA137:AF137">IF($Z$112/$C$111*(AA$5-$Z$5)&gt;$Z$112,0,$Z$112/$C$111)</f>
        <v>353.8938661793028</v>
      </c>
      <c r="AB137" s="198">
        <f t="shared" si="75"/>
        <v>353.8938661793028</v>
      </c>
      <c r="AC137" s="198">
        <f t="shared" si="75"/>
        <v>353.8938661793028</v>
      </c>
      <c r="AD137" s="198">
        <f t="shared" si="75"/>
        <v>353.8938661793028</v>
      </c>
      <c r="AE137" s="198">
        <f t="shared" si="75"/>
        <v>353.8938661793028</v>
      </c>
      <c r="AF137" s="198">
        <f t="shared" si="75"/>
        <v>353.8938661793028</v>
      </c>
    </row>
    <row r="138" spans="1:32" s="16" customFormat="1" ht="13.5" customHeight="1">
      <c r="A138" s="247" t="s">
        <v>185</v>
      </c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>
        <f>IF($AA$112/$C$111*(AB$5-$AA$5)&gt;$AA$112,0,$AA$112/$C$111)</f>
        <v>378.666436811854</v>
      </c>
      <c r="AC138" s="198">
        <f>IF($AA$112/$C$111*(AC$5-$AA$5)&gt;$AA$112,0,$AA$112/$C$111)</f>
        <v>378.666436811854</v>
      </c>
      <c r="AD138" s="198">
        <f>IF($AA$112/$C$111*(AD$5-$AA$5)&gt;$AA$112,0,$AA$112/$C$111)</f>
        <v>378.666436811854</v>
      </c>
      <c r="AE138" s="198">
        <f>IF($AA$112/$C$111*(AE$5-$AA$5)&gt;$AA$112,0,$AA$112/$C$111)</f>
        <v>378.666436811854</v>
      </c>
      <c r="AF138" s="198">
        <f>IF($AA$112/$C$111*(AF$5-$AA$5)&gt;$AA$112,0,$AA$112/$C$111)</f>
        <v>378.666436811854</v>
      </c>
    </row>
    <row r="139" spans="1:32" s="16" customFormat="1" ht="13.5" customHeight="1">
      <c r="A139" s="247" t="s">
        <v>186</v>
      </c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>
        <f>IF($AB$112/$C$111*(AC$5-$AB$5)&gt;$AB$112,0,$AB$112/$C$111)</f>
        <v>405.1730873886838</v>
      </c>
      <c r="AD139" s="198">
        <f>IF($AB$112/$C$111*(AD$5-$AB$5)&gt;$AB$112,0,$AB$112/$C$111)</f>
        <v>405.1730873886838</v>
      </c>
      <c r="AE139" s="198">
        <f>IF($AB$112/$C$111*(AE$5-$AB$5)&gt;$AB$112,0,$AB$112/$C$111)</f>
        <v>405.1730873886838</v>
      </c>
      <c r="AF139" s="198">
        <f>IF($AB$112/$C$111*(AF$5-$AB$5)&gt;$AB$112,0,$AB$112/$C$111)</f>
        <v>405.1730873886838</v>
      </c>
    </row>
    <row r="140" spans="1:32" s="16" customFormat="1" ht="13.5" customHeight="1">
      <c r="A140" s="247" t="s">
        <v>187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>
        <f>IF($AC$112/$C$111*(AD$5-$AC$5)&gt;$AC$112,0,$AC$112/$C$111)</f>
        <v>433.53520350589173</v>
      </c>
      <c r="AE140" s="198">
        <f>IF($AC$112/$C$111*(AE$5-$AC$5)&gt;$AC$112,0,$AC$112/$C$111)</f>
        <v>433.53520350589173</v>
      </c>
      <c r="AF140" s="198">
        <f>IF($AC$112/$C$111*(AF$5-$AC$5)&gt;$AC$112,0,$AC$112/$C$111)</f>
        <v>433.53520350589173</v>
      </c>
    </row>
    <row r="141" spans="1:32" s="16" customFormat="1" ht="13.5" customHeight="1">
      <c r="A141" s="247" t="s">
        <v>188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>
        <f>IF($AD$112/$C$111*(AE$5-$AD$5)&gt;$AD$112,0,$AD$112/$C$111)</f>
        <v>463.88266775130415</v>
      </c>
      <c r="AF141" s="198">
        <f>IF($AD$112/$C$111*(AF$5-$AD$5)&gt;$AD$112,0,$AD$112/$C$111)</f>
        <v>463.88266775130415</v>
      </c>
    </row>
    <row r="142" spans="1:32" s="16" customFormat="1" ht="13.5" customHeight="1">
      <c r="A142" s="247" t="s">
        <v>189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>
        <f>IF($AE$112/$C$111*(AF$5-$AE$5)&gt;$AE$112,0,$AE$112/$C$111)</f>
        <v>496.3544544938955</v>
      </c>
    </row>
    <row r="143" spans="1:32" s="16" customFormat="1" ht="45">
      <c r="A143" s="212" t="s">
        <v>218</v>
      </c>
      <c r="B143" s="198"/>
      <c r="C143" s="195">
        <f aca="true" t="shared" si="76" ref="C143:AF143">SUM(C114:C142)</f>
        <v>0</v>
      </c>
      <c r="D143" s="195">
        <f>SUM(D114:D142)</f>
        <v>55.00000000000001</v>
      </c>
      <c r="E143" s="195">
        <f t="shared" si="76"/>
        <v>116.05000000000003</v>
      </c>
      <c r="F143" s="195">
        <f t="shared" si="76"/>
        <v>180.15250000000003</v>
      </c>
      <c r="G143" s="195">
        <f t="shared" si="76"/>
        <v>248.74217500000006</v>
      </c>
      <c r="H143" s="195">
        <f t="shared" si="76"/>
        <v>322.1331272500001</v>
      </c>
      <c r="I143" s="195">
        <f t="shared" si="76"/>
        <v>400.6614461575001</v>
      </c>
      <c r="J143" s="195">
        <f t="shared" si="76"/>
        <v>484.68674738852513</v>
      </c>
      <c r="K143" s="195">
        <f t="shared" si="76"/>
        <v>574.5938197057219</v>
      </c>
      <c r="L143" s="195">
        <f t="shared" si="76"/>
        <v>670.7943870851225</v>
      </c>
      <c r="M143" s="195">
        <f t="shared" si="76"/>
        <v>773.7289941810811</v>
      </c>
      <c r="N143" s="195">
        <f t="shared" si="76"/>
        <v>920.5823669713154</v>
      </c>
      <c r="O143" s="195">
        <f t="shared" si="76"/>
        <v>1077.715475856866</v>
      </c>
      <c r="P143" s="195">
        <f t="shared" si="76"/>
        <v>1245.8479023644054</v>
      </c>
      <c r="Q143" s="195">
        <f t="shared" si="76"/>
        <v>1425.7495987274724</v>
      </c>
      <c r="R143" s="195">
        <f t="shared" si="76"/>
        <v>1618.2444138359542</v>
      </c>
      <c r="S143" s="195">
        <f t="shared" si="76"/>
        <v>1824.2138660020298</v>
      </c>
      <c r="T143" s="195">
        <f t="shared" si="76"/>
        <v>2044.6011798197305</v>
      </c>
      <c r="U143" s="195">
        <f>SUM(U114:U142)</f>
        <v>2280.4156056046704</v>
      </c>
      <c r="V143" s="195">
        <f t="shared" si="76"/>
        <v>2532.7370411945562</v>
      </c>
      <c r="W143" s="195">
        <f t="shared" si="76"/>
        <v>2802.720977275734</v>
      </c>
      <c r="X143" s="195">
        <f t="shared" si="76"/>
        <v>3091.6037888825945</v>
      </c>
      <c r="Y143" s="195">
        <f t="shared" si="76"/>
        <v>3400.708397301935</v>
      </c>
      <c r="Z143" s="195">
        <f t="shared" si="76"/>
        <v>3731.450328310629</v>
      </c>
      <c r="AA143" s="195">
        <f t="shared" si="76"/>
        <v>4085.344194489932</v>
      </c>
      <c r="AB143" s="195">
        <f t="shared" si="76"/>
        <v>4464.010631301786</v>
      </c>
      <c r="AC143" s="195">
        <f t="shared" si="76"/>
        <v>4869.1837186904695</v>
      </c>
      <c r="AD143" s="195">
        <f t="shared" si="76"/>
        <v>5302.718922196361</v>
      </c>
      <c r="AE143" s="195">
        <f t="shared" si="76"/>
        <v>5766.601589947665</v>
      </c>
      <c r="AF143" s="195">
        <f t="shared" si="76"/>
        <v>6262.956044441561</v>
      </c>
    </row>
    <row r="144" spans="1:32" s="16" customFormat="1" ht="15">
      <c r="A144" s="204" t="s">
        <v>151</v>
      </c>
      <c r="B144" s="198"/>
      <c r="C144" s="195">
        <f aca="true" t="shared" si="77" ref="C144:AF144">C143+C110</f>
        <v>0</v>
      </c>
      <c r="D144" s="195">
        <f>D143+D110</f>
        <v>55.00000000000001</v>
      </c>
      <c r="E144" s="195">
        <f t="shared" si="77"/>
        <v>116.05000000000003</v>
      </c>
      <c r="F144" s="195">
        <f t="shared" si="77"/>
        <v>180.15250000000003</v>
      </c>
      <c r="G144" s="195">
        <f t="shared" si="77"/>
        <v>248.74217500000006</v>
      </c>
      <c r="H144" s="195">
        <f t="shared" si="77"/>
        <v>322.1331272500001</v>
      </c>
      <c r="I144" s="195">
        <f t="shared" si="77"/>
        <v>400.6614461575001</v>
      </c>
      <c r="J144" s="195">
        <f t="shared" si="77"/>
        <v>484.68674738852513</v>
      </c>
      <c r="K144" s="195">
        <f t="shared" si="77"/>
        <v>574.5938197057219</v>
      </c>
      <c r="L144" s="195">
        <f t="shared" si="77"/>
        <v>670.7943870851225</v>
      </c>
      <c r="M144" s="195">
        <f t="shared" si="77"/>
        <v>773.7289941810811</v>
      </c>
      <c r="N144" s="195">
        <f t="shared" si="77"/>
        <v>920.5823669713154</v>
      </c>
      <c r="O144" s="195">
        <f t="shared" si="77"/>
        <v>1077.715475856866</v>
      </c>
      <c r="P144" s="195">
        <f t="shared" si="77"/>
        <v>1245.8479023644054</v>
      </c>
      <c r="Q144" s="195">
        <f t="shared" si="77"/>
        <v>1425.7495987274724</v>
      </c>
      <c r="R144" s="195">
        <f t="shared" si="77"/>
        <v>1618.2444138359542</v>
      </c>
      <c r="S144" s="195">
        <f t="shared" si="77"/>
        <v>1824.2138660020298</v>
      </c>
      <c r="T144" s="195">
        <f t="shared" si="77"/>
        <v>2044.6011798197305</v>
      </c>
      <c r="U144" s="195">
        <f t="shared" si="77"/>
        <v>2280.4156056046704</v>
      </c>
      <c r="V144" s="195">
        <f t="shared" si="77"/>
        <v>2532.7370411945562</v>
      </c>
      <c r="W144" s="195">
        <f t="shared" si="77"/>
        <v>2802.720977275734</v>
      </c>
      <c r="X144" s="195">
        <f t="shared" si="77"/>
        <v>3091.6037888825945</v>
      </c>
      <c r="Y144" s="195">
        <f t="shared" si="77"/>
        <v>3400.708397301935</v>
      </c>
      <c r="Z144" s="195">
        <f t="shared" si="77"/>
        <v>3731.450328310629</v>
      </c>
      <c r="AA144" s="195">
        <f t="shared" si="77"/>
        <v>4085.344194489932</v>
      </c>
      <c r="AB144" s="195">
        <f t="shared" si="77"/>
        <v>4464.010631301786</v>
      </c>
      <c r="AC144" s="195">
        <f t="shared" si="77"/>
        <v>4869.1837186904695</v>
      </c>
      <c r="AD144" s="195">
        <f t="shared" si="77"/>
        <v>5302.718922196361</v>
      </c>
      <c r="AE144" s="195">
        <f t="shared" si="77"/>
        <v>5766.601589947665</v>
      </c>
      <c r="AF144" s="195">
        <f t="shared" si="77"/>
        <v>6262.956044441561</v>
      </c>
    </row>
    <row r="145" spans="1:32" s="236" customFormat="1" ht="15">
      <c r="A145" s="6" t="s">
        <v>34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</row>
    <row r="146" spans="1:32" s="170" customFormat="1" ht="15">
      <c r="A146" s="182" t="s">
        <v>11</v>
      </c>
      <c r="B146" s="206">
        <f>'конкурсная документация'!B64</f>
        <v>500</v>
      </c>
      <c r="C146" s="224">
        <f>C104+C94+C85+C84+C144+C83</f>
        <v>600.9602777777778</v>
      </c>
      <c r="D146" s="224">
        <f aca="true" t="shared" si="78" ref="D146:AF146">D104+D94+D85+D84+D144+D83</f>
        <v>704.8712068750001</v>
      </c>
      <c r="E146" s="224">
        <f t="shared" si="78"/>
        <v>814.5562524314378</v>
      </c>
      <c r="F146" s="224">
        <f t="shared" si="78"/>
        <v>925.7076115919999</v>
      </c>
      <c r="G146" s="224">
        <f t="shared" si="78"/>
        <v>1046.0187903929102</v>
      </c>
      <c r="H146" s="224">
        <f t="shared" si="78"/>
        <v>1173.5089942145598</v>
      </c>
      <c r="I146" s="224">
        <f t="shared" si="78"/>
        <v>1308.6800892276171</v>
      </c>
      <c r="J146" s="224">
        <f t="shared" si="78"/>
        <v>1452.069032749874</v>
      </c>
      <c r="K146" s="224">
        <f t="shared" si="78"/>
        <v>1605.424812389401</v>
      </c>
      <c r="L146" s="224">
        <f t="shared" si="78"/>
        <v>1767.0827782718375</v>
      </c>
      <c r="M146" s="224">
        <f t="shared" si="78"/>
        <v>1950.9249554241387</v>
      </c>
      <c r="N146" s="224">
        <f t="shared" si="78"/>
        <v>2196.189553375538</v>
      </c>
      <c r="O146" s="224">
        <f t="shared" si="78"/>
        <v>2456.565810640252</v>
      </c>
      <c r="P146" s="224">
        <f t="shared" si="78"/>
        <v>2734.757773571368</v>
      </c>
      <c r="Q146" s="224">
        <f t="shared" si="78"/>
        <v>3028.699255514349</v>
      </c>
      <c r="R146" s="224">
        <f t="shared" si="78"/>
        <v>3341.155405868273</v>
      </c>
      <c r="S146" s="224">
        <f t="shared" si="78"/>
        <v>3673.420946124009</v>
      </c>
      <c r="T146" s="224">
        <f t="shared" si="78"/>
        <v>4026.8811508441763</v>
      </c>
      <c r="U146" s="224">
        <f t="shared" si="78"/>
        <v>4405.328571753637</v>
      </c>
      <c r="V146" s="224">
        <f t="shared" si="78"/>
        <v>4805.8652612265205</v>
      </c>
      <c r="W146" s="224">
        <f t="shared" si="78"/>
        <v>5232.369469543081</v>
      </c>
      <c r="X146" s="224">
        <f t="shared" si="78"/>
        <v>5686.657094888346</v>
      </c>
      <c r="Y146" s="224">
        <f t="shared" si="78"/>
        <v>6170.671039873883</v>
      </c>
      <c r="Z146" s="224">
        <f t="shared" si="78"/>
        <v>6689.73053686401</v>
      </c>
      <c r="AA146" s="224">
        <f t="shared" si="78"/>
        <v>7239.7710457221565</v>
      </c>
      <c r="AB146" s="224">
        <f t="shared" si="78"/>
        <v>7826.231993291856</v>
      </c>
      <c r="AC146" s="224">
        <f t="shared" si="78"/>
        <v>8451.660249728215</v>
      </c>
      <c r="AD146" s="224">
        <f t="shared" si="78"/>
        <v>9118.78081420536</v>
      </c>
      <c r="AE146" s="224">
        <f t="shared" si="78"/>
        <v>9835.054161700788</v>
      </c>
      <c r="AF146" s="224">
        <f t="shared" si="78"/>
        <v>10594.779539415504</v>
      </c>
    </row>
    <row r="147" spans="1:32" s="16" customFormat="1" ht="15">
      <c r="A147" s="99" t="s">
        <v>12</v>
      </c>
      <c r="B147" s="191"/>
      <c r="C147" s="243">
        <f>(C146-B146)/B146</f>
        <v>0.20192055555555566</v>
      </c>
      <c r="D147" s="243">
        <f aca="true" t="shared" si="79" ref="D147:AF147">(D146-C146)/C146</f>
        <v>0.17290814874064986</v>
      </c>
      <c r="E147" s="243">
        <f t="shared" si="79"/>
        <v>0.15561005256934676</v>
      </c>
      <c r="F147" s="243">
        <f t="shared" si="79"/>
        <v>0.13645633291596138</v>
      </c>
      <c r="G147" s="243">
        <f t="shared" si="79"/>
        <v>0.12996671658992118</v>
      </c>
      <c r="H147" s="243">
        <f t="shared" si="79"/>
        <v>0.12188137057629835</v>
      </c>
      <c r="I147" s="243">
        <f t="shared" si="79"/>
        <v>0.1151853932773038</v>
      </c>
      <c r="J147" s="243">
        <f t="shared" si="79"/>
        <v>0.10956760533193788</v>
      </c>
      <c r="K147" s="243">
        <f t="shared" si="79"/>
        <v>0.10561190699667196</v>
      </c>
      <c r="L147" s="243">
        <f t="shared" si="79"/>
        <v>0.10069482210246652</v>
      </c>
      <c r="M147" s="243">
        <f t="shared" si="79"/>
        <v>0.10403710534267913</v>
      </c>
      <c r="N147" s="243">
        <f t="shared" si="79"/>
        <v>0.12571708474459367</v>
      </c>
      <c r="O147" s="243">
        <f t="shared" si="79"/>
        <v>0.11855818950805799</v>
      </c>
      <c r="P147" s="243">
        <f t="shared" si="79"/>
        <v>0.11324425412344688</v>
      </c>
      <c r="Q147" s="243">
        <f t="shared" si="79"/>
        <v>0.10748355294338095</v>
      </c>
      <c r="R147" s="243">
        <f t="shared" si="79"/>
        <v>0.10316512931583942</v>
      </c>
      <c r="S147" s="243">
        <f t="shared" si="79"/>
        <v>0.09944629922695533</v>
      </c>
      <c r="T147" s="243">
        <f t="shared" si="79"/>
        <v>0.09622099125152514</v>
      </c>
      <c r="U147" s="243">
        <f t="shared" si="79"/>
        <v>0.09398028070188391</v>
      </c>
      <c r="V147" s="243">
        <f t="shared" si="79"/>
        <v>0.09092095696131941</v>
      </c>
      <c r="W147" s="243">
        <f t="shared" si="79"/>
        <v>0.08874660131601594</v>
      </c>
      <c r="X147" s="243">
        <f t="shared" si="79"/>
        <v>0.08682254339828488</v>
      </c>
      <c r="Y147" s="243">
        <f t="shared" si="79"/>
        <v>0.08511396711797693</v>
      </c>
      <c r="Z147" s="243">
        <f t="shared" si="79"/>
        <v>0.08411718816900914</v>
      </c>
      <c r="AA147" s="243">
        <f t="shared" si="79"/>
        <v>0.08222162399922205</v>
      </c>
      <c r="AB147" s="243">
        <f t="shared" si="79"/>
        <v>0.08100545498828012</v>
      </c>
      <c r="AC147" s="243">
        <f t="shared" si="79"/>
        <v>0.07991435175604752</v>
      </c>
      <c r="AD147" s="243">
        <f t="shared" si="79"/>
        <v>0.07893367039909091</v>
      </c>
      <c r="AE147" s="243">
        <f t="shared" si="79"/>
        <v>0.07854924491436478</v>
      </c>
      <c r="AF147" s="243">
        <f t="shared" si="79"/>
        <v>0.0772466897714914</v>
      </c>
    </row>
    <row r="148" spans="1:32" s="16" customFormat="1" ht="15">
      <c r="A148" s="99" t="s">
        <v>103</v>
      </c>
      <c r="B148" s="225">
        <f>'конкурсная документация'!B65</f>
        <v>100</v>
      </c>
      <c r="C148" s="194">
        <f>'конкурсная документация'!C65</f>
        <v>100</v>
      </c>
      <c r="D148" s="194">
        <f>'конкурсная документация'!D65</f>
        <v>100</v>
      </c>
      <c r="E148" s="194">
        <f>'конкурсная документация'!E65</f>
        <v>100</v>
      </c>
      <c r="F148" s="194">
        <f>'конкурсная документация'!F65</f>
        <v>100</v>
      </c>
      <c r="G148" s="194">
        <f>'конкурсная документация'!G65</f>
        <v>100</v>
      </c>
      <c r="H148" s="194">
        <f>'конкурсная документация'!H65</f>
        <v>100</v>
      </c>
      <c r="I148" s="194">
        <f>'конкурсная документация'!I65</f>
        <v>100</v>
      </c>
      <c r="J148" s="194">
        <f>'конкурсная документация'!J65</f>
        <v>100</v>
      </c>
      <c r="K148" s="194">
        <f>'конкурсная документация'!K65</f>
        <v>100</v>
      </c>
      <c r="L148" s="194">
        <f>'конкурсная документация'!L65</f>
        <v>100</v>
      </c>
      <c r="M148" s="194">
        <f>'конкурсная документация'!M65</f>
        <v>100</v>
      </c>
      <c r="N148" s="194">
        <f>'конкурсная документация'!N65</f>
        <v>100</v>
      </c>
      <c r="O148" s="194">
        <f>'конкурсная документация'!O65</f>
        <v>100</v>
      </c>
      <c r="P148" s="194">
        <f>'конкурсная документация'!P65</f>
        <v>100</v>
      </c>
      <c r="Q148" s="194">
        <f>'конкурсная документация'!Q65</f>
        <v>100</v>
      </c>
      <c r="R148" s="194">
        <f>'конкурсная документация'!R65</f>
        <v>100</v>
      </c>
      <c r="S148" s="194">
        <f>'конкурсная документация'!S65</f>
        <v>100</v>
      </c>
      <c r="T148" s="194">
        <f>'конкурсная документация'!T65</f>
        <v>100</v>
      </c>
      <c r="U148" s="194">
        <f>'конкурсная документация'!U65</f>
        <v>100</v>
      </c>
      <c r="V148" s="194">
        <f>'конкурсная документация'!V65</f>
        <v>100</v>
      </c>
      <c r="W148" s="194">
        <f>'конкурсная документация'!W65</f>
        <v>100</v>
      </c>
      <c r="X148" s="194">
        <f>'конкурсная документация'!X65</f>
        <v>100</v>
      </c>
      <c r="Y148" s="194">
        <f>'конкурсная документация'!Y65</f>
        <v>100</v>
      </c>
      <c r="Z148" s="194">
        <f>'конкурсная документация'!Z65</f>
        <v>100</v>
      </c>
      <c r="AA148" s="194">
        <f>'конкурсная документация'!AA65</f>
        <v>100</v>
      </c>
      <c r="AB148" s="194">
        <f>'конкурсная документация'!AB65</f>
        <v>100</v>
      </c>
      <c r="AC148" s="194">
        <f>'конкурсная документация'!AC65</f>
        <v>100</v>
      </c>
      <c r="AD148" s="194">
        <f>'конкурсная документация'!AD65</f>
        <v>100</v>
      </c>
      <c r="AE148" s="194">
        <f>'конкурсная документация'!AE65</f>
        <v>100</v>
      </c>
      <c r="AF148" s="194">
        <f>'конкурсная документация'!AF65</f>
        <v>100</v>
      </c>
    </row>
    <row r="149" spans="1:32" s="16" customFormat="1" ht="14.25" customHeight="1">
      <c r="A149" s="99" t="s">
        <v>24</v>
      </c>
      <c r="B149" s="193">
        <f>B146*1000/B148</f>
        <v>5000</v>
      </c>
      <c r="C149" s="198">
        <f>C146*1000/C148</f>
        <v>6009.602777777779</v>
      </c>
      <c r="D149" s="198">
        <f aca="true" t="shared" si="80" ref="D149:AF149">D146*1000/D148</f>
        <v>7048.712068750002</v>
      </c>
      <c r="E149" s="198">
        <f t="shared" si="80"/>
        <v>8145.562524314377</v>
      </c>
      <c r="F149" s="198">
        <f t="shared" si="80"/>
        <v>9257.07611592</v>
      </c>
      <c r="G149" s="198">
        <f t="shared" si="80"/>
        <v>10460.187903929102</v>
      </c>
      <c r="H149" s="198">
        <f t="shared" si="80"/>
        <v>11735.0899421456</v>
      </c>
      <c r="I149" s="198">
        <f t="shared" si="80"/>
        <v>13086.800892276173</v>
      </c>
      <c r="J149" s="198">
        <f t="shared" si="80"/>
        <v>14520.69032749874</v>
      </c>
      <c r="K149" s="198">
        <f t="shared" si="80"/>
        <v>16054.24812389401</v>
      </c>
      <c r="L149" s="198">
        <f t="shared" si="80"/>
        <v>17670.827782718374</v>
      </c>
      <c r="M149" s="198">
        <f t="shared" si="80"/>
        <v>19509.24955424139</v>
      </c>
      <c r="N149" s="198">
        <f t="shared" si="80"/>
        <v>21961.895533755378</v>
      </c>
      <c r="O149" s="198">
        <f t="shared" si="80"/>
        <v>24565.658106402523</v>
      </c>
      <c r="P149" s="198">
        <f t="shared" si="80"/>
        <v>27347.57773571368</v>
      </c>
      <c r="Q149" s="198">
        <f t="shared" si="80"/>
        <v>30286.99255514349</v>
      </c>
      <c r="R149" s="198">
        <f t="shared" si="80"/>
        <v>33411.554058682734</v>
      </c>
      <c r="S149" s="198">
        <f t="shared" si="80"/>
        <v>36734.20946124009</v>
      </c>
      <c r="T149" s="198">
        <f t="shared" si="80"/>
        <v>40268.811508441766</v>
      </c>
      <c r="U149" s="198">
        <f t="shared" si="80"/>
        <v>44053.28571753637</v>
      </c>
      <c r="V149" s="198">
        <f t="shared" si="80"/>
        <v>48058.65261226521</v>
      </c>
      <c r="W149" s="198">
        <f t="shared" si="80"/>
        <v>52323.694695430815</v>
      </c>
      <c r="X149" s="198">
        <f t="shared" si="80"/>
        <v>56866.57094888346</v>
      </c>
      <c r="Y149" s="198">
        <f t="shared" si="80"/>
        <v>61706.71039873883</v>
      </c>
      <c r="Z149" s="198">
        <f t="shared" si="80"/>
        <v>66897.3053686401</v>
      </c>
      <c r="AA149" s="198">
        <f t="shared" si="80"/>
        <v>72397.71045722156</v>
      </c>
      <c r="AB149" s="198">
        <f t="shared" si="80"/>
        <v>78262.31993291857</v>
      </c>
      <c r="AC149" s="198">
        <f t="shared" si="80"/>
        <v>84516.60249728215</v>
      </c>
      <c r="AD149" s="198">
        <f t="shared" si="80"/>
        <v>91187.8081420536</v>
      </c>
      <c r="AE149" s="198">
        <f t="shared" si="80"/>
        <v>98350.54161700787</v>
      </c>
      <c r="AF149" s="198">
        <f t="shared" si="80"/>
        <v>105947.79539415502</v>
      </c>
    </row>
    <row r="150" spans="1:32" s="16" customFormat="1" ht="15">
      <c r="A150" s="99" t="s">
        <v>13</v>
      </c>
      <c r="B150" s="180"/>
      <c r="C150" s="243">
        <f>(C149-B149)/B149</f>
        <v>0.2019205555555558</v>
      </c>
      <c r="D150" s="243">
        <f>(D149-C149)/C149</f>
        <v>0.1729081487406499</v>
      </c>
      <c r="E150" s="243">
        <f aca="true" t="shared" si="81" ref="E150:AF150">(E149-D149)/D149</f>
        <v>0.15561005256934649</v>
      </c>
      <c r="F150" s="243">
        <f t="shared" si="81"/>
        <v>0.13645633291596151</v>
      </c>
      <c r="G150" s="243">
        <f t="shared" si="81"/>
        <v>0.12996671658992112</v>
      </c>
      <c r="H150" s="243">
        <f t="shared" si="81"/>
        <v>0.12188137057629853</v>
      </c>
      <c r="I150" s="243">
        <f t="shared" si="81"/>
        <v>0.11518539327730379</v>
      </c>
      <c r="J150" s="243">
        <f t="shared" si="81"/>
        <v>0.1095676053319378</v>
      </c>
      <c r="K150" s="243">
        <f t="shared" si="81"/>
        <v>0.10561190699667196</v>
      </c>
      <c r="L150" s="243">
        <f t="shared" si="81"/>
        <v>0.10069482210246643</v>
      </c>
      <c r="M150" s="243">
        <f t="shared" si="81"/>
        <v>0.10403710534267928</v>
      </c>
      <c r="N150" s="243">
        <f t="shared" si="81"/>
        <v>0.12571708474459356</v>
      </c>
      <c r="O150" s="243">
        <f t="shared" si="81"/>
        <v>0.1185581895080581</v>
      </c>
      <c r="P150" s="243">
        <f t="shared" si="81"/>
        <v>0.11324425412344673</v>
      </c>
      <c r="Q150" s="243">
        <f t="shared" si="81"/>
        <v>0.10748355294338106</v>
      </c>
      <c r="R150" s="243">
        <f t="shared" si="81"/>
        <v>0.10316512931583942</v>
      </c>
      <c r="S150" s="243">
        <f t="shared" si="81"/>
        <v>0.09944629922695533</v>
      </c>
      <c r="T150" s="243">
        <f t="shared" si="81"/>
        <v>0.09622099125152515</v>
      </c>
      <c r="U150" s="243">
        <f t="shared" si="81"/>
        <v>0.0939802807018837</v>
      </c>
      <c r="V150" s="243">
        <f t="shared" si="81"/>
        <v>0.09092095696131958</v>
      </c>
      <c r="W150" s="243">
        <f t="shared" si="81"/>
        <v>0.08874660131601594</v>
      </c>
      <c r="X150" s="243">
        <f t="shared" si="81"/>
        <v>0.08682254339828481</v>
      </c>
      <c r="Y150" s="243">
        <f t="shared" si="81"/>
        <v>0.08511396711797696</v>
      </c>
      <c r="Z150" s="243">
        <f t="shared" si="81"/>
        <v>0.08411718816900908</v>
      </c>
      <c r="AA150" s="243">
        <f t="shared" si="81"/>
        <v>0.08222162399922206</v>
      </c>
      <c r="AB150" s="243">
        <f t="shared" si="81"/>
        <v>0.08100545498828032</v>
      </c>
      <c r="AC150" s="243">
        <f t="shared" si="81"/>
        <v>0.07991435175604739</v>
      </c>
      <c r="AD150" s="243">
        <f t="shared" si="81"/>
        <v>0.07893367039909095</v>
      </c>
      <c r="AE150" s="243">
        <f t="shared" si="81"/>
        <v>0.07854924491436466</v>
      </c>
      <c r="AF150" s="243">
        <f t="shared" si="81"/>
        <v>0.07724668977149134</v>
      </c>
    </row>
    <row r="151" spans="1:23" s="91" customFormat="1" ht="15">
      <c r="A151" s="5" t="s">
        <v>44</v>
      </c>
      <c r="B151" s="8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90"/>
    </row>
    <row r="152" spans="1:32" s="16" customFormat="1" ht="15">
      <c r="A152" s="226" t="s">
        <v>46</v>
      </c>
      <c r="B152" s="220"/>
      <c r="C152" s="220">
        <f>SUM(C153:C156)</f>
        <v>693.3602777777778</v>
      </c>
      <c r="D152" s="220">
        <f aca="true" t="shared" si="82" ref="D152:AE152">SUM(D153:D156)</f>
        <v>807.3800824399741</v>
      </c>
      <c r="E152" s="220">
        <f t="shared" si="82"/>
        <v>922.2512021365633</v>
      </c>
      <c r="F152" s="220">
        <f t="shared" si="82"/>
        <v>1040.9412077764841</v>
      </c>
      <c r="G152" s="220">
        <f t="shared" si="82"/>
        <v>1169.3187383103084</v>
      </c>
      <c r="H152" s="220">
        <f t="shared" si="82"/>
        <v>1305.4399384861758</v>
      </c>
      <c r="I152" s="220">
        <f t="shared" si="82"/>
        <v>1449.8461995982464</v>
      </c>
      <c r="J152" s="220">
        <f t="shared" si="82"/>
        <v>1603.1167708464473</v>
      </c>
      <c r="K152" s="220">
        <f t="shared" si="82"/>
        <v>1767.0458921527345</v>
      </c>
      <c r="L152" s="220">
        <f t="shared" si="82"/>
        <v>1940.0173336186042</v>
      </c>
      <c r="M152" s="220">
        <f t="shared" si="82"/>
        <v>2135.9649296451794</v>
      </c>
      <c r="N152" s="220">
        <f t="shared" si="82"/>
        <v>2394.182325792051</v>
      </c>
      <c r="O152" s="220">
        <f t="shared" si="82"/>
        <v>2668.418077125921</v>
      </c>
      <c r="P152" s="220">
        <f t="shared" si="82"/>
        <v>2961.439698711034</v>
      </c>
      <c r="Q152" s="220">
        <f t="shared" si="82"/>
        <v>3271.2489154137916</v>
      </c>
      <c r="R152" s="220">
        <f t="shared" si="82"/>
        <v>3600.683541960677</v>
      </c>
      <c r="S152" s="220">
        <f t="shared" si="82"/>
        <v>3951.1160517428807</v>
      </c>
      <c r="T152" s="220">
        <f t="shared" si="82"/>
        <v>4324.014913856369</v>
      </c>
      <c r="U152" s="220">
        <f t="shared" si="82"/>
        <v>4723.261698176684</v>
      </c>
      <c r="V152" s="220">
        <f t="shared" si="82"/>
        <v>5146.05370649918</v>
      </c>
      <c r="W152" s="220">
        <f t="shared" si="82"/>
        <v>5596.371105984827</v>
      </c>
      <c r="X152" s="220">
        <f t="shared" si="82"/>
        <v>6076.138845881014</v>
      </c>
      <c r="Y152" s="220">
        <f t="shared" si="82"/>
        <v>6587.416513436038</v>
      </c>
      <c r="Z152" s="220">
        <f t="shared" si="82"/>
        <v>7135.6481935755155</v>
      </c>
      <c r="AA152" s="220">
        <f t="shared" si="82"/>
        <v>7716.902938403468</v>
      </c>
      <c r="AB152" s="220">
        <f t="shared" si="82"/>
        <v>8336.763118460858</v>
      </c>
      <c r="AC152" s="220">
        <f t="shared" si="82"/>
        <v>8997.928553659049</v>
      </c>
      <c r="AD152" s="220">
        <f t="shared" si="82"/>
        <v>9703.287899411353</v>
      </c>
      <c r="AE152" s="220">
        <f t="shared" si="82"/>
        <v>10460.4767428712</v>
      </c>
      <c r="AF152" s="220">
        <f>SUM(AF153:AF156)</f>
        <v>11263.981701267843</v>
      </c>
    </row>
    <row r="153" spans="1:32" s="16" customFormat="1" ht="15">
      <c r="A153" s="227" t="s">
        <v>41</v>
      </c>
      <c r="B153" s="220"/>
      <c r="C153" s="220">
        <f>C146</f>
        <v>600.9602777777778</v>
      </c>
      <c r="D153" s="220">
        <f aca="true" t="shared" si="83" ref="D153:AF153">D146</f>
        <v>704.8712068750001</v>
      </c>
      <c r="E153" s="220">
        <f t="shared" si="83"/>
        <v>814.5562524314378</v>
      </c>
      <c r="F153" s="220">
        <f t="shared" si="83"/>
        <v>925.7076115919999</v>
      </c>
      <c r="G153" s="220">
        <f t="shared" si="83"/>
        <v>1046.0187903929102</v>
      </c>
      <c r="H153" s="220">
        <f t="shared" si="83"/>
        <v>1173.5089942145598</v>
      </c>
      <c r="I153" s="220">
        <f t="shared" si="83"/>
        <v>1308.6800892276171</v>
      </c>
      <c r="J153" s="220">
        <f t="shared" si="83"/>
        <v>1452.069032749874</v>
      </c>
      <c r="K153" s="220">
        <f t="shared" si="83"/>
        <v>1605.424812389401</v>
      </c>
      <c r="L153" s="220">
        <f t="shared" si="83"/>
        <v>1767.0827782718375</v>
      </c>
      <c r="M153" s="220">
        <f t="shared" si="83"/>
        <v>1950.9249554241387</v>
      </c>
      <c r="N153" s="220">
        <f t="shared" si="83"/>
        <v>2196.189553375538</v>
      </c>
      <c r="O153" s="220">
        <f t="shared" si="83"/>
        <v>2456.565810640252</v>
      </c>
      <c r="P153" s="220">
        <f t="shared" si="83"/>
        <v>2734.757773571368</v>
      </c>
      <c r="Q153" s="220">
        <f t="shared" si="83"/>
        <v>3028.699255514349</v>
      </c>
      <c r="R153" s="220">
        <f t="shared" si="83"/>
        <v>3341.155405868273</v>
      </c>
      <c r="S153" s="220">
        <f t="shared" si="83"/>
        <v>3673.420946124009</v>
      </c>
      <c r="T153" s="220">
        <f t="shared" si="83"/>
        <v>4026.8811508441763</v>
      </c>
      <c r="U153" s="220">
        <f t="shared" si="83"/>
        <v>4405.328571753637</v>
      </c>
      <c r="V153" s="220">
        <f t="shared" si="83"/>
        <v>4805.8652612265205</v>
      </c>
      <c r="W153" s="220">
        <f t="shared" si="83"/>
        <v>5232.369469543081</v>
      </c>
      <c r="X153" s="220">
        <f t="shared" si="83"/>
        <v>5686.657094888346</v>
      </c>
      <c r="Y153" s="220">
        <f t="shared" si="83"/>
        <v>6170.671039873883</v>
      </c>
      <c r="Z153" s="220">
        <f t="shared" si="83"/>
        <v>6689.73053686401</v>
      </c>
      <c r="AA153" s="220">
        <f t="shared" si="83"/>
        <v>7239.7710457221565</v>
      </c>
      <c r="AB153" s="220">
        <f t="shared" si="83"/>
        <v>7826.231993291856</v>
      </c>
      <c r="AC153" s="220">
        <f t="shared" si="83"/>
        <v>8451.660249728215</v>
      </c>
      <c r="AD153" s="220">
        <f t="shared" si="83"/>
        <v>9118.78081420536</v>
      </c>
      <c r="AE153" s="220">
        <f t="shared" si="83"/>
        <v>9835.054161700788</v>
      </c>
      <c r="AF153" s="220">
        <f t="shared" si="83"/>
        <v>10594.779539415504</v>
      </c>
    </row>
    <row r="154" spans="1:32" s="170" customFormat="1" ht="73.5" customHeight="1">
      <c r="A154" s="228" t="s">
        <v>228</v>
      </c>
      <c r="B154" s="221"/>
      <c r="C154" s="221">
        <f>IF('основные условия'!$J$10=1,'конкурсные предложения'!B31,'конкурсные предложения'!B34)*C12</f>
        <v>0</v>
      </c>
      <c r="D154" s="221">
        <f>IF('основные условия'!$J$10=1,'конкурсные предложения'!C31,'конкурсные предложения'!C34)*D12</f>
        <v>0</v>
      </c>
      <c r="E154" s="221">
        <f>IF('основные условия'!$J$10=1,'конкурсные предложения'!D31,'конкурсные предложения'!D34)*E12</f>
        <v>0</v>
      </c>
      <c r="F154" s="221">
        <f>IF('основные условия'!$J$10=1,'конкурсные предложения'!E31,'конкурсные предложения'!E34)*F12</f>
        <v>0</v>
      </c>
      <c r="G154" s="221">
        <f>IF('основные условия'!$J$10=1,'конкурсные предложения'!F31,'конкурсные предложения'!F34)*G12</f>
        <v>0</v>
      </c>
      <c r="H154" s="221">
        <f>IF('основные условия'!$J$10=1,'конкурсные предложения'!G31,'конкурсные предложения'!G34)*H12</f>
        <v>0</v>
      </c>
      <c r="I154" s="221">
        <f>IF('основные условия'!$J$10=1,'конкурсные предложения'!H31,'конкурсные предложения'!H34)*I12</f>
        <v>0</v>
      </c>
      <c r="J154" s="221">
        <f>IF('основные условия'!$J$10=1,'конкурсные предложения'!I31,'конкурсные предложения'!I34)*J12</f>
        <v>0</v>
      </c>
      <c r="K154" s="221">
        <f>IF('основные условия'!$J$10=1,'конкурсные предложения'!J31,'конкурсные предложения'!J34)*K12</f>
        <v>0</v>
      </c>
      <c r="L154" s="221">
        <f>IF('основные условия'!$J$10=1,'конкурсные предложения'!K31,'конкурсные предложения'!K34)*L12</f>
        <v>0</v>
      </c>
      <c r="M154" s="221">
        <f>IF('основные условия'!$J$10=1,'конкурсные предложения'!L31,'конкурсные предложения'!L34)*M12</f>
        <v>0</v>
      </c>
      <c r="N154" s="221">
        <f>IF('основные условия'!$J$10=1,'конкурсные предложения'!M31,'конкурсные предложения'!M34)*N12</f>
        <v>0</v>
      </c>
      <c r="O154" s="221">
        <f>IF('основные условия'!$J$10=1,'конкурсные предложения'!N31,'конкурсные предложения'!N34)*O12</f>
        <v>0</v>
      </c>
      <c r="P154" s="221">
        <f>IF('основные условия'!$J$10=1,'конкурсные предложения'!O31,'конкурсные предложения'!O34)*P12</f>
        <v>0</v>
      </c>
      <c r="Q154" s="221">
        <f>IF('основные условия'!$J$10=1,'конкурсные предложения'!P31,'конкурсные предложения'!P34)*Q12</f>
        <v>0</v>
      </c>
      <c r="R154" s="221">
        <f>IF('основные условия'!$J$10=1,'конкурсные предложения'!Q31,'конкурсные предложения'!Q34)*R12</f>
        <v>0</v>
      </c>
      <c r="S154" s="221">
        <f>IF('основные условия'!$J$10=1,'конкурсные предложения'!R31,'конкурсные предложения'!R34)*S12</f>
        <v>0</v>
      </c>
      <c r="T154" s="221">
        <f>IF('основные условия'!$J$10=1,'конкурсные предложения'!S31,'конкурсные предложения'!S34)*T12</f>
        <v>0</v>
      </c>
      <c r="U154" s="221">
        <f>IF('основные условия'!$J$10=1,'конкурсные предложения'!T31,'конкурсные предложения'!T34)*U12</f>
        <v>0</v>
      </c>
      <c r="V154" s="221">
        <f>IF('основные условия'!$J$10=1,'конкурсные предложения'!U31,'конкурсные предложения'!U34)*V12</f>
        <v>0</v>
      </c>
      <c r="W154" s="221">
        <f>IF('основные условия'!$J$10=1,'конкурсные предложения'!V31,'конкурсные предложения'!V34)*W12</f>
        <v>0</v>
      </c>
      <c r="X154" s="221">
        <f>IF('основные условия'!$J$10=1,'конкурсные предложения'!W31,'конкурсные предложения'!W34)*X12</f>
        <v>0</v>
      </c>
      <c r="Y154" s="221">
        <f>IF('основные условия'!$J$10=1,'конкурсные предложения'!X31,'конкурсные предложения'!X34)*Y12</f>
        <v>0</v>
      </c>
      <c r="Z154" s="221">
        <f>IF('основные условия'!$J$10=1,'конкурсные предложения'!Y31,'конкурсные предложения'!Y34)*Z12</f>
        <v>0</v>
      </c>
      <c r="AA154" s="221">
        <f>IF('основные условия'!$J$10=1,'конкурсные предложения'!Z31,'конкурсные предложения'!Z34)*AA12</f>
        <v>0</v>
      </c>
      <c r="AB154" s="221">
        <f>IF('основные условия'!$J$10=1,'конкурсные предложения'!AA31,'конкурсные предложения'!AA34)*AB12</f>
        <v>0</v>
      </c>
      <c r="AC154" s="221">
        <f>IF('основные условия'!$J$10=1,'конкурсные предложения'!AB31,'конкурсные предложения'!AB34)*AC12</f>
        <v>0</v>
      </c>
      <c r="AD154" s="221">
        <f>IF('основные условия'!$J$10=1,'конкурсные предложения'!AC31,'конкурсные предложения'!AC34)*AD12</f>
        <v>0</v>
      </c>
      <c r="AE154" s="221">
        <f>IF('основные условия'!$J$10=1,'конкурсные предложения'!AD31,'конкурсные предложения'!AD34)*AE12</f>
        <v>0</v>
      </c>
      <c r="AF154" s="221">
        <f>IF('основные условия'!$J$10=1,'конкурсные предложения'!AE31,'конкурсные предложения'!AE34)*AF12</f>
        <v>0</v>
      </c>
    </row>
    <row r="155" spans="1:32" s="170" customFormat="1" ht="59.25" customHeight="1">
      <c r="A155" s="229" t="s">
        <v>229</v>
      </c>
      <c r="B155" s="218"/>
      <c r="C155" s="221">
        <f>'конкурсные предложения'!B32*C8</f>
        <v>81.4</v>
      </c>
      <c r="D155" s="221">
        <f>'конкурсные предложения'!C32*D8</f>
        <v>90.35400000000003</v>
      </c>
      <c r="E155" s="221">
        <f>'конкурсные предложения'!D32*E8</f>
        <v>94.87170000000003</v>
      </c>
      <c r="F155" s="221">
        <f>'конкурсные предложения'!E32*F8</f>
        <v>101.51271900000005</v>
      </c>
      <c r="G155" s="221">
        <f>'конкурсные предложения'!F32*G8</f>
        <v>108.61860933000004</v>
      </c>
      <c r="H155" s="221">
        <f>'конкурсные предложения'!G32*H8</f>
        <v>116.22191198310006</v>
      </c>
      <c r="I155" s="221">
        <f>'конкурсные предложения'!H32*I8</f>
        <v>124.35744582191708</v>
      </c>
      <c r="J155" s="221">
        <f>'конкурсные предложения'!I32*J8</f>
        <v>133.06246702945128</v>
      </c>
      <c r="K155" s="221">
        <f>'конкурсные предложения'!J32*K8</f>
        <v>142.37683972151288</v>
      </c>
      <c r="L155" s="221">
        <f>'конкурсные предложения'!K32*L8</f>
        <v>152.34321850201877</v>
      </c>
      <c r="M155" s="221">
        <f>'конкурсные предложения'!L32*M8</f>
        <v>163.0072437971601</v>
      </c>
      <c r="N155" s="221">
        <f>'конкурсные предложения'!M32*N8</f>
        <v>174.41775086296133</v>
      </c>
      <c r="O155" s="221">
        <f>'конкурсные предложения'!N32*O8</f>
        <v>186.62699342336865</v>
      </c>
      <c r="P155" s="221">
        <f>'конкурсные предложения'!O32*P8</f>
        <v>199.69088296300444</v>
      </c>
      <c r="Q155" s="221">
        <f>'конкурсные предложения'!P32*Q8</f>
        <v>213.66924477041476</v>
      </c>
      <c r="R155" s="221">
        <f>'конкурсные предложения'!Q32*R8</f>
        <v>228.62609190434384</v>
      </c>
      <c r="S155" s="221">
        <f>'конкурсные предложения'!R32*S8</f>
        <v>244.62991833764792</v>
      </c>
      <c r="T155" s="221">
        <f>'конкурсные предложения'!S32*T8</f>
        <v>261.75401262128327</v>
      </c>
      <c r="U155" s="221">
        <f>'конкурсные предложения'!T32*U8</f>
        <v>280.07679350477315</v>
      </c>
      <c r="V155" s="221">
        <f>'конкурсные предложения'!U32*V8</f>
        <v>299.68216905010723</v>
      </c>
      <c r="W155" s="221">
        <f>'конкурсные предложения'!V32*W8</f>
        <v>320.65992088361475</v>
      </c>
      <c r="X155" s="221">
        <f>'конкурсные предложения'!W32*X8</f>
        <v>343.1061153454678</v>
      </c>
      <c r="Y155" s="221">
        <f>'конкурсные предложения'!X32*Y8</f>
        <v>367.1235434196505</v>
      </c>
      <c r="Z155" s="221">
        <f>'конкурсные предложения'!Y32*Z8</f>
        <v>392.8221914590261</v>
      </c>
      <c r="AA155" s="221">
        <f>'конкурсные предложения'!Z32*AA8</f>
        <v>420.319744861158</v>
      </c>
      <c r="AB155" s="221">
        <f>'конкурсные предложения'!AA32*AB8</f>
        <v>449.74212700143903</v>
      </c>
      <c r="AC155" s="221">
        <f>'конкурсные предложения'!AB32*AC8</f>
        <v>481.2240758915398</v>
      </c>
      <c r="AD155" s="221">
        <f>'конкурсные предложения'!AC32*AD8</f>
        <v>514.9097612039476</v>
      </c>
      <c r="AE155" s="221">
        <f>'конкурсные предложения'!AD32*AE8</f>
        <v>550.953444488224</v>
      </c>
      <c r="AF155" s="221">
        <f>'конкурсные предложения'!AE32*AF8</f>
        <v>589.5201856023997</v>
      </c>
    </row>
    <row r="156" spans="1:32" s="170" customFormat="1" ht="15" customHeight="1">
      <c r="A156" s="229" t="s">
        <v>224</v>
      </c>
      <c r="B156" s="218"/>
      <c r="C156" s="221">
        <f>'конкурсные предложения'!B33*(C12*C8)^(1/2)</f>
        <v>11</v>
      </c>
      <c r="D156" s="221">
        <f>'конкурсные предложения'!C33*(D12*D8)^(1/2)</f>
        <v>12.154875564973919</v>
      </c>
      <c r="E156" s="221">
        <f>'конкурсные предложения'!D33*(E12*E8)^(1/2)</f>
        <v>12.823249705125455</v>
      </c>
      <c r="F156" s="221">
        <f>'конкурсные предложения'!E33*(F12*F8)^(1/2)</f>
        <v>13.720877184484237</v>
      </c>
      <c r="G156" s="221">
        <f>'конкурсные предложения'!F33*(G12*G8)^(1/2)</f>
        <v>14.681338587398136</v>
      </c>
      <c r="H156" s="221">
        <f>'конкурсные предложения'!G33*(H12*H8)^(1/2)</f>
        <v>15.709032288516005</v>
      </c>
      <c r="I156" s="221">
        <f>'конкурсные предложения'!H33*(I12*I8)^(1/2)</f>
        <v>16.80866454871213</v>
      </c>
      <c r="J156" s="221">
        <f>'конкурсные предложения'!I33*(J12*J8)^(1/2)</f>
        <v>17.985271067121978</v>
      </c>
      <c r="K156" s="221">
        <f>'конкурсные предложения'!J33*(K12*K8)^(1/2)</f>
        <v>19.244240041820518</v>
      </c>
      <c r="L156" s="221">
        <f>'конкурсные предложения'!K33*(L12*L8)^(1/2)</f>
        <v>20.591336844747957</v>
      </c>
      <c r="M156" s="221">
        <f>'конкурсные предложения'!L33*(M12*M8)^(1/2)</f>
        <v>22.03273042388031</v>
      </c>
      <c r="N156" s="221">
        <f>'конкурсные предложения'!M33*(N12*N8)^(1/2)</f>
        <v>23.575021553551938</v>
      </c>
      <c r="O156" s="221">
        <f>'конкурсные предложения'!N33*(O12*O8)^(1/2)</f>
        <v>25.22527306230057</v>
      </c>
      <c r="P156" s="221">
        <f>'конкурсные предложения'!O33*(P12*P8)^(1/2)</f>
        <v>26.99104217666161</v>
      </c>
      <c r="Q156" s="221">
        <f>'конкурсные предложения'!P33*(Q12*Q8)^(1/2)</f>
        <v>28.88041512902793</v>
      </c>
      <c r="R156" s="221">
        <f>'конкурсные предложения'!Q33*(R12*R8)^(1/2)</f>
        <v>30.902044188059886</v>
      </c>
      <c r="S156" s="221">
        <f>'конкурсные предложения'!R33*(S12*S8)^(1/2)</f>
        <v>33.06518728122408</v>
      </c>
      <c r="T156" s="221">
        <f>'конкурсные предложения'!S33*(T12*T8)^(1/2)</f>
        <v>35.37975039090976</v>
      </c>
      <c r="U156" s="221">
        <f>'конкурсные предложения'!T33*(U12*U8)^(1/2)</f>
        <v>37.85633291827345</v>
      </c>
      <c r="V156" s="221">
        <f>'конкурсные предложения'!U33*(V12*V8)^(1/2)</f>
        <v>40.50627622255259</v>
      </c>
      <c r="W156" s="221">
        <f>'конкурсные предложения'!V33*(W12*W8)^(1/2)</f>
        <v>43.34171555813128</v>
      </c>
      <c r="X156" s="221">
        <f>'конкурсные предложения'!W33*(X12*X8)^(1/2)</f>
        <v>46.37563564720047</v>
      </c>
      <c r="Y156" s="221">
        <f>'конкурсные предложения'!X33*(Y12*Y8)^(1/2)</f>
        <v>49.621930142504496</v>
      </c>
      <c r="Z156" s="221">
        <f>'конкурсные предложения'!Y33*(Z12*Z8)^(1/2)</f>
        <v>53.09546525247982</v>
      </c>
      <c r="AA156" s="221">
        <f>'конкурсные предложения'!Z33*(AA12*AA8)^(1/2)</f>
        <v>56.81214782015341</v>
      </c>
      <c r="AB156" s="221">
        <f>'конкурсные предложения'!AA33*(AB12*AB8)^(1/2)</f>
        <v>60.78899816756416</v>
      </c>
      <c r="AC156" s="221">
        <f>'конкурсные предложения'!AB33*(AC12*AC8)^(1/2)</f>
        <v>65.04422803929364</v>
      </c>
      <c r="AD156" s="221">
        <f>'конкурсные предложения'!AC33*(AD12*AD8)^(1/2)</f>
        <v>69.59732400204422</v>
      </c>
      <c r="AE156" s="221">
        <f>'конкурсные предложения'!AD33*(AE12*AE8)^(1/2)</f>
        <v>74.4691366821873</v>
      </c>
      <c r="AF156" s="221">
        <f>'конкурсные предложения'!AE33*(AF12*AF8)^(1/2)</f>
        <v>79.68197624994042</v>
      </c>
    </row>
    <row r="157" spans="1:32" s="16" customFormat="1" ht="15">
      <c r="A157" s="226" t="s">
        <v>44</v>
      </c>
      <c r="B157" s="220"/>
      <c r="C157" s="220">
        <f>C152/((1+'конкурсная документация'!$B$8)^(C$5-1))</f>
        <v>693.3602777777778</v>
      </c>
      <c r="D157" s="220">
        <f>D152/((1+'конкурсная документация'!$B$8)^(D$5-1))</f>
        <v>729.3406345437887</v>
      </c>
      <c r="E157" s="220">
        <f>E152/((1+'конкурсная документация'!$B$8)^(E$5-1))</f>
        <v>752.5822797493516</v>
      </c>
      <c r="F157" s="220">
        <f>F152/((1+'конкурсная документация'!$B$8)^(F$5-1))</f>
        <v>767.3320507729823</v>
      </c>
      <c r="G157" s="220">
        <f>G152/((1+'конкурсная документация'!$B$8)^(G$5-1))</f>
        <v>778.6502471498627</v>
      </c>
      <c r="H157" s="220">
        <f>H152/((1+'конкурсная документация'!$B$8)^(H$5-1))</f>
        <v>785.2696106921017</v>
      </c>
      <c r="I157" s="220">
        <f>I152/((1+'конкурсная документация'!$B$8)^(I$5-1))</f>
        <v>787.836702605991</v>
      </c>
      <c r="J157" s="220">
        <f>J152/((1+'конкурсная документация'!$B$8)^(J$5-1))</f>
        <v>786.9222251431476</v>
      </c>
      <c r="K157" s="220">
        <f>K152/((1+'конкурсная документация'!$B$8)^(K$5-1))</f>
        <v>783.550264832972</v>
      </c>
      <c r="L157" s="220">
        <f>L152/((1+'конкурсная документация'!$B$8)^(L$5-1))</f>
        <v>777.1002029153791</v>
      </c>
      <c r="M157" s="220">
        <f>M152/((1+'конкурсная документация'!$B$8)^(M$5-1))</f>
        <v>772.8903928060748</v>
      </c>
      <c r="N157" s="220">
        <f>N152/((1+'конкурсная документация'!$B$8)^(N$5-1))</f>
        <v>782.5883721598944</v>
      </c>
      <c r="O157" s="220">
        <f>O152/((1+'конкурсная документация'!$B$8)^(O$5-1))</f>
        <v>787.9205426814672</v>
      </c>
      <c r="P157" s="220">
        <f>P152/((1+'конкурсная документация'!$B$8)^(P$5-1))</f>
        <v>789.9212961144632</v>
      </c>
      <c r="Q157" s="220">
        <f>Q152/((1+'конкурсная документация'!$B$8)^(Q$5-1))</f>
        <v>788.2190000748562</v>
      </c>
      <c r="R157" s="220">
        <f>R152/((1+'конкурсная документация'!$B$8)^(R$5-1))</f>
        <v>783.737523851781</v>
      </c>
      <c r="S157" s="220">
        <f>S152/((1+'конкурсная документация'!$B$8)^(S$5-1))</f>
        <v>776.8869956975005</v>
      </c>
      <c r="T157" s="220">
        <f>T152/((1+'конкурсная документация'!$B$8)^(T$5-1))</f>
        <v>768.0290166195246</v>
      </c>
      <c r="U157" s="220">
        <f>U152/((1+'конкурсная документация'!$B$8)^(U$5-1))</f>
        <v>757.8527538178798</v>
      </c>
      <c r="V157" s="220">
        <f>V152/((1+'конкурсная документация'!$B$8)^(V$5-1))</f>
        <v>745.8809541156443</v>
      </c>
      <c r="W157" s="220">
        <f>W152/((1+'конкурсная документация'!$B$8)^(W$5-1))</f>
        <v>732.7470658991531</v>
      </c>
      <c r="X157" s="220">
        <f>X152/((1+'конкурсная документация'!$B$8)^(X$5-1))</f>
        <v>718.666913431534</v>
      </c>
      <c r="Y157" s="220">
        <f>Y152/((1+'конкурсная документация'!$B$8)^(Y$5-1))</f>
        <v>703.8294985769998</v>
      </c>
      <c r="Z157" s="220">
        <f>Z152/((1+'конкурсная документация'!$B$8)^(Z$5-1))</f>
        <v>688.712792416043</v>
      </c>
      <c r="AA157" s="220">
        <f>AA152/((1+'конкурсная документация'!$B$8)^(AA$5-1))</f>
        <v>672.8219273469165</v>
      </c>
      <c r="AB157" s="220">
        <f>AB152/((1+'конкурсная документация'!$B$8)^(AB$5-1))</f>
        <v>656.6091638979791</v>
      </c>
      <c r="AC157" s="220">
        <f>AC152/((1+'конкурсная документация'!$B$8)^(AC$5-1))</f>
        <v>640.1833836313073</v>
      </c>
      <c r="AD157" s="220">
        <f>AD152/((1+'конкурсная документация'!$B$8)^(AD$5-1))</f>
        <v>623.6388377458572</v>
      </c>
      <c r="AE157" s="220">
        <f>AE152/((1+'конкурсная документация'!$B$8)^(AE$5-1))</f>
        <v>607.3207135629463</v>
      </c>
      <c r="AF157" s="220">
        <f>AF152/((1+'конкурсная документация'!$B$8)^(AF$5-1))</f>
        <v>590.7597945559028</v>
      </c>
    </row>
    <row r="158" spans="1:32" s="66" customFormat="1" ht="21" customHeight="1">
      <c r="A158" s="62" t="s">
        <v>87</v>
      </c>
      <c r="B158" s="142"/>
      <c r="C158" s="141"/>
      <c r="D158" s="141"/>
      <c r="E158" s="141"/>
      <c r="F158" s="142"/>
      <c r="G158" s="142"/>
      <c r="H158" s="142"/>
      <c r="I158" s="142"/>
      <c r="J158" s="142"/>
      <c r="K158" s="141"/>
      <c r="L158" s="141"/>
      <c r="M158" s="141"/>
      <c r="N158" s="141"/>
      <c r="O158" s="141"/>
      <c r="P158" s="142"/>
      <c r="Q158" s="142"/>
      <c r="R158" s="142"/>
      <c r="S158" s="142"/>
      <c r="T158" s="142"/>
      <c r="U158" s="141"/>
      <c r="V158" s="141"/>
      <c r="W158" s="143"/>
      <c r="X158" s="144"/>
      <c r="Y158" s="144"/>
      <c r="Z158" s="144"/>
      <c r="AA158" s="144"/>
      <c r="AB158" s="144"/>
      <c r="AC158" s="144"/>
      <c r="AD158" s="144"/>
      <c r="AE158" s="144"/>
      <c r="AF158" s="144"/>
    </row>
    <row r="159" spans="1:32" s="16" customFormat="1" ht="15">
      <c r="A159" s="226" t="s">
        <v>102</v>
      </c>
      <c r="B159" s="198"/>
      <c r="C159" s="195">
        <f>'конкурсные предложения'!B$41*SUM(C161,C166,C171,C175,C210)</f>
        <v>29.99740364312932</v>
      </c>
      <c r="D159" s="195">
        <f>'конкурсные предложения'!C$41*SUM(D161,D166,D171,D175,D210)</f>
        <v>38.56411347387684</v>
      </c>
      <c r="E159" s="195">
        <f>'конкурсные предложения'!D$41*SUM(E161,E166,E171,E175,E210)</f>
        <v>57.69445767689997</v>
      </c>
      <c r="F159" s="195">
        <f>'конкурсные предложения'!E$41*SUM(F161,F166,F171,F175,F210)</f>
        <v>95.99852957581739</v>
      </c>
      <c r="G159" s="195">
        <f>'конкурсные предложения'!F$41*SUM(G161,G166,G171,G175,G210)</f>
        <v>93.48014624743398</v>
      </c>
      <c r="H159" s="195">
        <f>'конкурсные предложения'!G$41*SUM(H161,H166,H171,H175,H210)</f>
        <v>141.4276726529847</v>
      </c>
      <c r="I159" s="195">
        <f>'конкурсные предложения'!H$41*SUM(I161,I166,I171,I175,I210)</f>
        <v>217.7566321468199</v>
      </c>
      <c r="J159" s="195">
        <f>'конкурсные предложения'!I$41*SUM(J161,J166,J171,J175,J210)</f>
        <v>293.71146833916134</v>
      </c>
      <c r="K159" s="195">
        <f>'конкурсные предложения'!J$41*SUM(K161,K166,K171,K175,K210)</f>
        <v>350.95878178416035</v>
      </c>
      <c r="L159" s="195">
        <f>'конкурсные предложения'!K$41*SUM(L161,L166,L171,L175,L210)</f>
        <v>344.81087805408396</v>
      </c>
      <c r="M159" s="195">
        <f>'конкурсные предложения'!L$41*SUM(M161,M166,M171,M175,M210)</f>
        <v>335.46044023976896</v>
      </c>
      <c r="N159" s="195">
        <f>'конкурсные предложения'!M$41*SUM(N161,N166,N171,N175,N210)</f>
        <v>458.98717081686425</v>
      </c>
      <c r="O159" s="195">
        <f>'конкурсные предложения'!N$41*SUM(O161,O166,O171,O175,O210)</f>
        <v>486.0030721985227</v>
      </c>
      <c r="P159" s="195">
        <f>'конкурсные предложения'!O$41*SUM(P161,P166,P171,P175,P210)</f>
        <v>641.4115450366305</v>
      </c>
      <c r="Q159" s="195">
        <f>'конкурсные предложения'!P$41*SUM(Q161,Q166,Q171,Q175,Q210)</f>
        <v>659.636632209974</v>
      </c>
      <c r="R159" s="195">
        <f>'конкурсные предложения'!Q$41*SUM(R161,R166,R171,R175,R210)</f>
        <v>658.0017413347026</v>
      </c>
      <c r="S159" s="195">
        <f>'конкурсные предложения'!R$41*SUM(S161,S166,S171,S175,S210)</f>
        <v>662.9506058850219</v>
      </c>
      <c r="T159" s="195">
        <f>'конкурсные предложения'!S$41*SUM(T161,T166,T171,T175,T210)</f>
        <v>707.5240104282777</v>
      </c>
      <c r="U159" s="195">
        <f>'конкурсные предложения'!T$41*SUM(U161,U166,U171,U175,U210)</f>
        <v>716.0923951207676</v>
      </c>
      <c r="V159" s="195">
        <f>'конкурсные предложения'!U$41*SUM(V161,V166,V171,V175,V210)</f>
        <v>770.6447086091359</v>
      </c>
      <c r="W159" s="195">
        <f>'конкурсные предложения'!V$41*SUM(W161,W166,W171,W175,W210)</f>
        <v>767.3646378957507</v>
      </c>
      <c r="X159" s="195">
        <f>'конкурсные предложения'!W$41*SUM(X161,X166,X171,X175,X210)</f>
        <v>760.7693640584266</v>
      </c>
      <c r="Y159" s="195">
        <f>'конкурсные предложения'!X$41*SUM(Y161,Y166,Y171,Y175,Y210)</f>
        <v>753.712264211003</v>
      </c>
      <c r="Z159" s="195">
        <f>'конкурсные предложения'!Y$41*SUM(Z161,Z166,Z171,Z175,Z210)</f>
        <v>740.6522832920316</v>
      </c>
      <c r="AA159" s="195">
        <f>'конкурсные предложения'!Z$41*SUM(AA161,AA166,AA171,AA175,AA210)</f>
        <v>727.6571988121266</v>
      </c>
      <c r="AB159" s="195">
        <f>'конкурсные предложения'!AA$41*SUM(AB161,AB166,AB171,AB175,AB210)</f>
        <v>708.3979299935187</v>
      </c>
      <c r="AC159" s="195">
        <f>'конкурсные предложения'!AB$41*SUM(AC161,AC166,AC171,AC175,AC210)</f>
        <v>686.0239592483737</v>
      </c>
      <c r="AD159" s="195">
        <f>'конкурсные предложения'!AC$41*SUM(AD161,AD166,AD171,AD175,AD210)</f>
        <v>708.9815799154293</v>
      </c>
      <c r="AE159" s="195">
        <f>'конкурсные предложения'!AD$41*SUM(AE161,AE166,AE171,AE175,AE210)</f>
        <v>680.4876478524681</v>
      </c>
      <c r="AF159" s="195">
        <f>'конкурсные предложения'!AE$41*SUM(AF161,AF166,AF171,AF175,AF210)</f>
        <v>648.4990838679696</v>
      </c>
    </row>
    <row r="160" spans="1:32" s="16" customFormat="1" ht="15">
      <c r="A160" s="226" t="s">
        <v>168</v>
      </c>
      <c r="B160" s="198"/>
      <c r="C160" s="195">
        <f>SUM(C161,C166,C171,C173:C175,C210)*'конкурсная документация'!$C$68</f>
        <v>0</v>
      </c>
      <c r="D160" s="195">
        <f>SUM(D161,D166,D171,D173:D175,D210)*'конкурсная документация'!$C$68</f>
        <v>0</v>
      </c>
      <c r="E160" s="195">
        <f>SUM(E161,E166,E171,E173:E175,E210)*'конкурсная документация'!$C$68</f>
        <v>0</v>
      </c>
      <c r="F160" s="195">
        <f>SUM(F161,F166,F171,F173:F175,F210)*'конкурсная документация'!$C$68</f>
        <v>0</v>
      </c>
      <c r="G160" s="195">
        <f>SUM(G161,G166,G171,G173:G175,G210)*'конкурсная документация'!$C$68</f>
        <v>0</v>
      </c>
      <c r="H160" s="195">
        <f>SUM(H161,H166,H171,H173:H175,H210)*'конкурсная документация'!$C$68</f>
        <v>0</v>
      </c>
      <c r="I160" s="195">
        <f>SUM(I161,I166,I171,I173:I175,I210)*'конкурсная документация'!$C$68</f>
        <v>0</v>
      </c>
      <c r="J160" s="195">
        <f>SUM(J161,J166,J171,J173:J175,J210)*'конкурсная документация'!$C$68</f>
        <v>0</v>
      </c>
      <c r="K160" s="195">
        <f>SUM(K161,K166,K171,K173:K175,K210)*'конкурсная документация'!$C$68</f>
        <v>0</v>
      </c>
      <c r="L160" s="195">
        <f>SUM(L161,L166,L171,L173:L175,L210)*'конкурсная документация'!$C$68</f>
        <v>0</v>
      </c>
      <c r="M160" s="195">
        <f>SUM(M161,M166,M171,M173:M175,M210)*'конкурсная документация'!$C$68</f>
        <v>0</v>
      </c>
      <c r="N160" s="195">
        <f>SUM(N161,N166,N171,N173:N175,N210)*'конкурсная документация'!$C$68</f>
        <v>0</v>
      </c>
      <c r="O160" s="195">
        <f>SUM(O161,O166,O171,O173:O175,O210)*'конкурсная документация'!$C$68</f>
        <v>0</v>
      </c>
      <c r="P160" s="195">
        <f>SUM(P161,P166,P171,P173:P175,P210)*'конкурсная документация'!$C$68</f>
        <v>0</v>
      </c>
      <c r="Q160" s="195">
        <f>SUM(Q161,Q166,Q171,Q173:Q175,Q210)*'конкурсная документация'!$C$68</f>
        <v>0</v>
      </c>
      <c r="R160" s="195">
        <f>SUM(R161,R166,R171,R173:R175,R210)*'конкурсная документация'!$C$68</f>
        <v>0</v>
      </c>
      <c r="S160" s="195">
        <f>SUM(S161,S166,S171,S173:S175,S210)*'конкурсная документация'!$C$68</f>
        <v>0</v>
      </c>
      <c r="T160" s="195">
        <f>SUM(T161,T166,T171,T173:T175,T210)*'конкурсная документация'!$C$68</f>
        <v>0</v>
      </c>
      <c r="U160" s="195">
        <f>SUM(U161,U166,U171,U173:U175,U210)*'конкурсная документация'!$C$68</f>
        <v>0</v>
      </c>
      <c r="V160" s="195">
        <f>SUM(V161,V166,V171,V173:V175,V210)*'конкурсная документация'!$C$68</f>
        <v>0</v>
      </c>
      <c r="W160" s="195">
        <f>SUM(W161,W166,W171,W173:W175,W210)*'конкурсная документация'!$C$68</f>
        <v>0</v>
      </c>
      <c r="X160" s="195">
        <f>SUM(X161,X166,X171,X173:X175,X210)*'конкурсная документация'!$C$68</f>
        <v>0</v>
      </c>
      <c r="Y160" s="195">
        <f>SUM(Y161,Y166,Y171,Y173:Y175,Y210)*'конкурсная документация'!$C$68</f>
        <v>0</v>
      </c>
      <c r="Z160" s="195">
        <f>SUM(Z161,Z166,Z171,Z173:Z175,Z210)*'конкурсная документация'!$C$68</f>
        <v>0</v>
      </c>
      <c r="AA160" s="195">
        <f>SUM(AA161,AA166,AA171,AA173:AA175,AA210)*'конкурсная документация'!$C$68</f>
        <v>0</v>
      </c>
      <c r="AB160" s="195">
        <f>SUM(AB161,AB166,AB171,AB173:AB175,AB210)*'конкурсная документация'!$C$68</f>
        <v>0</v>
      </c>
      <c r="AC160" s="195">
        <f>SUM(AC161,AC166,AC171,AC173:AC175,AC210)*'конкурсная документация'!$C$68</f>
        <v>0</v>
      </c>
      <c r="AD160" s="195">
        <f>SUM(AD161,AD166,AD171,AD173:AD175,AD210)*'конкурсная документация'!$C$68</f>
        <v>0</v>
      </c>
      <c r="AE160" s="195">
        <f>SUM(AE161,AE166,AE171,AE173:AE175,AE210)*'конкурсная документация'!$C$68</f>
        <v>0</v>
      </c>
      <c r="AF160" s="195">
        <f>SUM(AF161,AF166,AF171,AF173:AF175,AF210)*'конкурсная документация'!$C$68</f>
        <v>0</v>
      </c>
    </row>
    <row r="161" spans="1:32" s="16" customFormat="1" ht="15.75" customHeight="1">
      <c r="A161" s="99" t="s">
        <v>8</v>
      </c>
      <c r="B161" s="220"/>
      <c r="C161" s="206">
        <f>'конкурсные предложения'!B37*C12</f>
        <v>361.90000000000003</v>
      </c>
      <c r="D161" s="195">
        <f>C161*(1+D162)*(1+C165)*(1-0.01)</f>
        <v>394.10910000000007</v>
      </c>
      <c r="E161" s="195">
        <f>D161*(1+E162)*(1+D165)*(1-0.01)</f>
        <v>413.57808954000006</v>
      </c>
      <c r="F161" s="206">
        <f>'конкурсные предложения'!E37*F12</f>
        <v>446.0241500000001</v>
      </c>
      <c r="G161" s="195">
        <f>F161*(1+G162)*(1+F165)*(1-0.01)</f>
        <v>472.4733820950001</v>
      </c>
      <c r="H161" s="195">
        <f>G161*(1+H162)*(1+G165)*(1-0.01)</f>
        <v>500.4910536532336</v>
      </c>
      <c r="I161" s="195">
        <f>H161*(1+I162)*(1+H165)*(1-0.01)</f>
        <v>530.1701731348704</v>
      </c>
      <c r="J161" s="195">
        <f>I161*(1+J162)*(1+I165)*(1-0.01)</f>
        <v>561.6092644017682</v>
      </c>
      <c r="K161" s="206">
        <f>'конкурсные предложения'!J37*K12</f>
        <v>600.5490657758369</v>
      </c>
      <c r="L161" s="195">
        <f>K161*(1+L162)*(1+K165)*(1-0.01)</f>
        <v>636.161625376344</v>
      </c>
      <c r="M161" s="195">
        <f>L161*(1+M162)*(1+L165)*(1-0.01)</f>
        <v>673.8860097611612</v>
      </c>
      <c r="N161" s="195">
        <f>M161*(1+N162)*(1+M165)*(1-0.01)</f>
        <v>713.847450139998</v>
      </c>
      <c r="O161" s="195">
        <f>N161*(1+O162)*(1+N165)*(1-0.01)</f>
        <v>756.1786039333</v>
      </c>
      <c r="P161" s="206">
        <f>'конкурсные предложения'!O37*P12</f>
        <v>807.2052510919114</v>
      </c>
      <c r="Q161" s="195">
        <f>P161*(1+Q162)*(1+P165)*(1-0.01)</f>
        <v>855.0725224816617</v>
      </c>
      <c r="R161" s="195">
        <f>Q161*(1+R162)*(1+Q165)*(1-0.01)</f>
        <v>905.7783230648243</v>
      </c>
      <c r="S161" s="195">
        <f>R161*(1+S162)*(1+R165)*(1-0.01)</f>
        <v>959.4909776225685</v>
      </c>
      <c r="T161" s="195">
        <f>S161*(1+T162)*(1+S165)*(1-0.01)</f>
        <v>1016.3887925955869</v>
      </c>
      <c r="U161" s="206">
        <f>'конкурсные предложения'!T37*U12</f>
        <v>1079.1368888143484</v>
      </c>
      <c r="V161" s="195">
        <f>U161*(1+V162)*(1+U165)*(1-0.01)</f>
        <v>1143.1297063210393</v>
      </c>
      <c r="W161" s="195">
        <f>V161*(1+W162)*(1+V165)*(1-0.01)</f>
        <v>1210.917297905877</v>
      </c>
      <c r="X161" s="195">
        <f>W161*(1+X162)*(1+W165)*(1-0.01)</f>
        <v>1282.7246936716954</v>
      </c>
      <c r="Y161" s="195">
        <f>X161*(1+Y162)*(1+X165)*(1-0.01)</f>
        <v>1358.7902680064271</v>
      </c>
      <c r="Z161" s="206">
        <f>'конкурсные предложения'!Y37*Z12</f>
        <v>1439.1957168408385</v>
      </c>
      <c r="AA161" s="195">
        <f>Z161*(1+AA162)*(1+Z165)*(1-0.01)</f>
        <v>1524.5400228495002</v>
      </c>
      <c r="AB161" s="195">
        <f>AA161*(1+AB162)*(1+AA165)*(1-0.01)</f>
        <v>1614.9452462044756</v>
      </c>
      <c r="AC161" s="195">
        <f>AB161*(1+AC162)*(1+AB165)*(1-0.01)</f>
        <v>1710.711499304401</v>
      </c>
      <c r="AD161" s="195">
        <f>AC161*(1+AD162)*(1+AC165)*(1-0.01)</f>
        <v>1812.156691213152</v>
      </c>
      <c r="AE161" s="206">
        <f>'конкурсные предложения'!AD37*AE12</f>
        <v>1921.7158022714227</v>
      </c>
      <c r="AF161" s="195">
        <f>AE161*(1+AF162)*(1+AE165)*(1-0.01)</f>
        <v>2035.6735493461183</v>
      </c>
    </row>
    <row r="162" spans="1:33" s="16" customFormat="1" ht="15">
      <c r="A162" s="207" t="s">
        <v>17</v>
      </c>
      <c r="B162" s="210"/>
      <c r="C162" s="210"/>
      <c r="D162" s="201">
        <f>'конкурсная документация'!D$23</f>
        <v>0.1</v>
      </c>
      <c r="E162" s="201">
        <f>'конкурсная документация'!E$23</f>
        <v>0.06</v>
      </c>
      <c r="F162" s="201">
        <f>'конкурсная документация'!F$23</f>
        <v>0.07</v>
      </c>
      <c r="G162" s="201">
        <f>'конкурсная документация'!G$23</f>
        <v>0.07</v>
      </c>
      <c r="H162" s="201">
        <f>'конкурсная документация'!H$23</f>
        <v>0.07</v>
      </c>
      <c r="I162" s="201">
        <f>'конкурсная документация'!I$23</f>
        <v>0.07</v>
      </c>
      <c r="J162" s="201">
        <f>'конкурсная документация'!J$23</f>
        <v>0.07</v>
      </c>
      <c r="K162" s="201">
        <f>'конкурсная документация'!K$23</f>
        <v>0.07</v>
      </c>
      <c r="L162" s="201">
        <f>'конкурсная документация'!L$23</f>
        <v>0.07</v>
      </c>
      <c r="M162" s="201">
        <f>'конкурсная документация'!M$23</f>
        <v>0.07</v>
      </c>
      <c r="N162" s="201">
        <f>'конкурсная документация'!N$23</f>
        <v>0.07</v>
      </c>
      <c r="O162" s="201">
        <f>'конкурсная документация'!O$23</f>
        <v>0.07</v>
      </c>
      <c r="P162" s="201">
        <f>'конкурсная документация'!P$23</f>
        <v>0.07</v>
      </c>
      <c r="Q162" s="201">
        <f>'конкурсная документация'!Q$23</f>
        <v>0.07</v>
      </c>
      <c r="R162" s="201">
        <f>'конкурсная документация'!R$23</f>
        <v>0.07</v>
      </c>
      <c r="S162" s="201">
        <f>'конкурсная документация'!S$23</f>
        <v>0.07</v>
      </c>
      <c r="T162" s="201">
        <f>'конкурсная документация'!T$23</f>
        <v>0.07</v>
      </c>
      <c r="U162" s="201">
        <f>'конкурсная документация'!U$23</f>
        <v>0.07</v>
      </c>
      <c r="V162" s="201">
        <f>'конкурсная документация'!V$23</f>
        <v>0.07</v>
      </c>
      <c r="W162" s="201">
        <f>'конкурсная документация'!W$23</f>
        <v>0.07</v>
      </c>
      <c r="X162" s="201">
        <f>'конкурсная документация'!X$23</f>
        <v>0.07</v>
      </c>
      <c r="Y162" s="201">
        <f>'конкурсная документация'!Y$23</f>
        <v>0.07</v>
      </c>
      <c r="Z162" s="201">
        <f>'конкурсная документация'!Z$23</f>
        <v>0.07</v>
      </c>
      <c r="AA162" s="201">
        <f>'конкурсная документация'!AA$23</f>
        <v>0.07</v>
      </c>
      <c r="AB162" s="201">
        <f>'конкурсная документация'!AB$23</f>
        <v>0.07</v>
      </c>
      <c r="AC162" s="201">
        <f>'конкурсная документация'!AC$23</f>
        <v>0.07</v>
      </c>
      <c r="AD162" s="201">
        <f>'конкурсная документация'!AD$23</f>
        <v>0.07</v>
      </c>
      <c r="AE162" s="201">
        <f>'конкурсная документация'!AE$23</f>
        <v>0.07</v>
      </c>
      <c r="AF162" s="201">
        <f>'конкурсная документация'!AF$23</f>
        <v>0.07</v>
      </c>
      <c r="AG162" s="136"/>
    </row>
    <row r="163" spans="1:32" s="16" customFormat="1" ht="45">
      <c r="A163" s="207" t="s">
        <v>157</v>
      </c>
      <c r="B163" s="198">
        <f>'конкурсная документация'!B77</f>
        <v>0.5</v>
      </c>
      <c r="C163" s="201">
        <f>B163*(1+0.75*'конкурсная документация'!B78)/(1+0.75*B163*'конкурсная документация'!B78+B164)</f>
        <v>0.5</v>
      </c>
      <c r="D163" s="201">
        <f>C163*(1+0.75*'конкурсная документация'!C78)/(1+0.75*C163*'конкурсная документация'!C78+C164)</f>
        <v>0.5</v>
      </c>
      <c r="E163" s="201">
        <f>D163*(1+0.75*'конкурсная документация'!D78)/(1+0.75*D163*'конкурсная документация'!D78+D164)</f>
        <v>0.5</v>
      </c>
      <c r="F163" s="201">
        <f>E163*(1+0.75*'конкурсная документация'!E78)/(1+0.75*E163*'конкурсная документация'!E78+E164)</f>
        <v>0.5</v>
      </c>
      <c r="G163" s="201">
        <f>F163*(1+0.75*'конкурсная документация'!F78)/(1+0.75*F163*'конкурсная документация'!F78+F164)</f>
        <v>0.5</v>
      </c>
      <c r="H163" s="201">
        <f>G163*(1+0.75*'конкурсная документация'!G78)/(1+0.75*G163*'конкурсная документация'!G78+G164)</f>
        <v>0.5</v>
      </c>
      <c r="I163" s="201">
        <f>H163*(1+0.75*'конкурсная документация'!H78)/(1+0.75*H163*'конкурсная документация'!H78+H164)</f>
        <v>0.5</v>
      </c>
      <c r="J163" s="201">
        <f>I163*(1+0.75*'конкурсная документация'!I78)/(1+0.75*I163*'конкурсная документация'!I78+I164)</f>
        <v>0.5</v>
      </c>
      <c r="K163" s="201">
        <f>J163*(1+0.75*'конкурсная документация'!J78)/(1+0.75*J163*'конкурсная документация'!J78+J164)</f>
        <v>0.5</v>
      </c>
      <c r="L163" s="201">
        <f>K163*(1+0.75*'конкурсная документация'!K78)/(1+0.75*K163*'конкурсная документация'!K78+K164)</f>
        <v>0.5</v>
      </c>
      <c r="M163" s="201">
        <f>L163*(1+0.75*'конкурсная документация'!L78)/(1+0.75*L163*'конкурсная документация'!L78+L164)</f>
        <v>0.5</v>
      </c>
      <c r="N163" s="201">
        <f>M163*(1+0.75*'конкурсная документация'!M78)/(1+0.75*M163*'конкурсная документация'!M78+M164)</f>
        <v>0.5</v>
      </c>
      <c r="O163" s="201">
        <f>N163*(1+0.75*'конкурсная документация'!N78)/(1+0.75*N163*'конкурсная документация'!N78+N164)</f>
        <v>0.5</v>
      </c>
      <c r="P163" s="201">
        <f>O163*(1+0.75*'конкурсная документация'!O78)/(1+0.75*O163*'конкурсная документация'!O78+O164)</f>
        <v>0.5</v>
      </c>
      <c r="Q163" s="201">
        <f>P163*(1+0.75*'конкурсная документация'!P78)/(1+0.75*P163*'конкурсная документация'!P78+P164)</f>
        <v>0.5</v>
      </c>
      <c r="R163" s="201">
        <f>Q163*(1+0.75*'конкурсная документация'!Q78)/(1+0.75*Q163*'конкурсная документация'!Q78+Q164)</f>
        <v>0.5</v>
      </c>
      <c r="S163" s="201">
        <f>R163*(1+0.75*'конкурсная документация'!R78)/(1+0.75*R163*'конкурсная документация'!R78+R164)</f>
        <v>0.5</v>
      </c>
      <c r="T163" s="201">
        <f>S163*(1+0.75*'конкурсная документация'!S78)/(1+0.75*S163*'конкурсная документация'!S78+S164)</f>
        <v>0.5</v>
      </c>
      <c r="U163" s="201">
        <f>T163*(1+0.75*'конкурсная документация'!T78)/(1+0.75*T163*'конкурсная документация'!T78+T164)</f>
        <v>0.5</v>
      </c>
      <c r="V163" s="201">
        <f>U163*(1+0.75*'конкурсная документация'!U78)/(1+0.75*U163*'конкурсная документация'!U78+U164)</f>
        <v>0.5</v>
      </c>
      <c r="W163" s="201">
        <f>V163*(1+0.75*'конкурсная документация'!V78)/(1+0.75*V163*'конкурсная документация'!V78+V164)</f>
        <v>0.5</v>
      </c>
      <c r="X163" s="201">
        <f>W163*(1+0.75*'конкурсная документация'!W78)/(1+0.75*W163*'конкурсная документация'!W78+W164)</f>
        <v>0.5</v>
      </c>
      <c r="Y163" s="201">
        <f>X163*(1+0.75*'конкурсная документация'!X78)/(1+0.75*X163*'конкурсная документация'!X78+X164)</f>
        <v>0.5</v>
      </c>
      <c r="Z163" s="201">
        <f>Y163*(1+0.75*'конкурсная документация'!Y78)/(1+0.75*Y163*'конкурсная документация'!Y78+Y164)</f>
        <v>0.5</v>
      </c>
      <c r="AA163" s="201">
        <f>Z163*(1+0.75*'конкурсная документация'!Z78)/(1+0.75*Z163*'конкурсная документация'!Z78+Z164)</f>
        <v>0.5</v>
      </c>
      <c r="AB163" s="201">
        <f>AA163*(1+0.75*'конкурсная документация'!AA78)/(1+0.75*AA163*'конкурсная документация'!AA78+AA164)</f>
        <v>0.5</v>
      </c>
      <c r="AC163" s="201">
        <f>AB163*(1+0.75*'конкурсная документация'!AB78)/(1+0.75*AB163*'конкурсная документация'!AB78+AB164)</f>
        <v>0.5</v>
      </c>
      <c r="AD163" s="201">
        <f>AC163*(1+0.75*'конкурсная документация'!AC78)/(1+0.75*AC163*'конкурсная документация'!AC78+AC164)</f>
        <v>0.5</v>
      </c>
      <c r="AE163" s="201">
        <f>AD163*(1+0.75*'конкурсная документация'!AD78)/(1+0.75*AD163*'конкурсная документация'!AD78+AD164)</f>
        <v>0.5</v>
      </c>
      <c r="AF163" s="201">
        <f>AE163*(1+0.75*'конкурсная документация'!AE78)/(1+0.75*AE163*'конкурсная документация'!AE78+AE164)</f>
        <v>0.5</v>
      </c>
    </row>
    <row r="164" spans="1:32" s="16" customFormat="1" ht="90">
      <c r="A164" s="207" t="s">
        <v>156</v>
      </c>
      <c r="B164" s="198"/>
      <c r="C164" s="201">
        <f>'конкурсная документация'!C79</f>
        <v>0</v>
      </c>
      <c r="D164" s="201">
        <f>'конкурсная документация'!D79</f>
        <v>0</v>
      </c>
      <c r="E164" s="201">
        <f>'конкурсная документация'!E79</f>
        <v>0</v>
      </c>
      <c r="F164" s="201">
        <f>'конкурсная документация'!F79</f>
        <v>0</v>
      </c>
      <c r="G164" s="201">
        <f>'конкурсная документация'!G79</f>
        <v>0</v>
      </c>
      <c r="H164" s="201">
        <f>'конкурсная документация'!H79</f>
        <v>0</v>
      </c>
      <c r="I164" s="201">
        <f>'конкурсная документация'!I79</f>
        <v>0</v>
      </c>
      <c r="J164" s="201">
        <f>'конкурсная документация'!J79</f>
        <v>0</v>
      </c>
      <c r="K164" s="201">
        <f>'конкурсная документация'!K79</f>
        <v>0</v>
      </c>
      <c r="L164" s="201">
        <f>'конкурсная документация'!L79</f>
        <v>0</v>
      </c>
      <c r="M164" s="201">
        <f>'конкурсная документация'!M79</f>
        <v>0</v>
      </c>
      <c r="N164" s="201">
        <f>'конкурсная документация'!N79</f>
        <v>0</v>
      </c>
      <c r="O164" s="201">
        <f>'конкурсная документация'!O79</f>
        <v>0</v>
      </c>
      <c r="P164" s="201">
        <f>'конкурсная документация'!P79</f>
        <v>0</v>
      </c>
      <c r="Q164" s="201">
        <f>'конкурсная документация'!Q79</f>
        <v>0</v>
      </c>
      <c r="R164" s="201">
        <f>'конкурсная документация'!R79</f>
        <v>0</v>
      </c>
      <c r="S164" s="201">
        <f>'конкурсная документация'!S79</f>
        <v>0</v>
      </c>
      <c r="T164" s="201">
        <f>'конкурсная документация'!T79</f>
        <v>0</v>
      </c>
      <c r="U164" s="201">
        <f>'конкурсная документация'!U79</f>
        <v>0</v>
      </c>
      <c r="V164" s="201">
        <f>'конкурсная документация'!V79</f>
        <v>0</v>
      </c>
      <c r="W164" s="201">
        <f>'конкурсная документация'!W79</f>
        <v>0</v>
      </c>
      <c r="X164" s="201">
        <f>'конкурсная документация'!X79</f>
        <v>0</v>
      </c>
      <c r="Y164" s="201">
        <f>'конкурсная документация'!Y79</f>
        <v>0</v>
      </c>
      <c r="Z164" s="201">
        <f>'конкурсная документация'!Z79</f>
        <v>0</v>
      </c>
      <c r="AA164" s="201">
        <f>'конкурсная документация'!AA79</f>
        <v>0</v>
      </c>
      <c r="AB164" s="201">
        <f>'конкурсная документация'!AB79</f>
        <v>0</v>
      </c>
      <c r="AC164" s="201">
        <f>'конкурсная документация'!AC79</f>
        <v>0</v>
      </c>
      <c r="AD164" s="201">
        <f>'конкурсная документация'!AD79</f>
        <v>0</v>
      </c>
      <c r="AE164" s="201">
        <f>'конкурсная документация'!AE79</f>
        <v>0</v>
      </c>
      <c r="AF164" s="201">
        <f>'конкурсная документация'!AF79</f>
        <v>0</v>
      </c>
    </row>
    <row r="165" spans="1:32" s="16" customFormat="1" ht="30">
      <c r="A165" s="207" t="s">
        <v>155</v>
      </c>
      <c r="B165" s="198"/>
      <c r="C165" s="194">
        <f>0.75*B163*'конкурсная документация'!C78+C164</f>
        <v>0</v>
      </c>
      <c r="D165" s="194">
        <f>0.75*C163*'конкурсная документация'!D78+D164</f>
        <v>0</v>
      </c>
      <c r="E165" s="194">
        <f>0.75*D163*'конкурсная документация'!E78+E164</f>
        <v>0</v>
      </c>
      <c r="F165" s="194">
        <f>0.75*E163*'конкурсная документация'!F78+F164</f>
        <v>0</v>
      </c>
      <c r="G165" s="194">
        <f>0.75*F163*'конкурсная документация'!G78+G164</f>
        <v>0</v>
      </c>
      <c r="H165" s="194">
        <f>0.75*G163*'конкурсная документация'!H78+H164</f>
        <v>0</v>
      </c>
      <c r="I165" s="194">
        <f>0.75*H163*'конкурсная документация'!I78+I164</f>
        <v>0</v>
      </c>
      <c r="J165" s="194">
        <f>0.75*I163*'конкурсная документация'!J78+J164</f>
        <v>0</v>
      </c>
      <c r="K165" s="242">
        <f>0.75*J163*'конкурсная документация'!K78+K164</f>
        <v>0</v>
      </c>
      <c r="L165" s="194">
        <f>0.75*K163*'конкурсная документация'!L78+L164</f>
        <v>0</v>
      </c>
      <c r="M165" s="194">
        <f>0.75*L163*'конкурсная документация'!M78+M164</f>
        <v>0</v>
      </c>
      <c r="N165" s="194">
        <f>0.75*M163*'конкурсная документация'!N78+N164</f>
        <v>0</v>
      </c>
      <c r="O165" s="194">
        <f>0.75*N163*'конкурсная документация'!O78+O164</f>
        <v>0</v>
      </c>
      <c r="P165" s="194">
        <f>0.75*O163*'конкурсная документация'!P78+P164</f>
        <v>0</v>
      </c>
      <c r="Q165" s="194">
        <f>0.75*P163*'конкурсная документация'!Q78+Q164</f>
        <v>0</v>
      </c>
      <c r="R165" s="194">
        <f>0.75*Q163*'конкурсная документация'!R78+R164</f>
        <v>0</v>
      </c>
      <c r="S165" s="194">
        <f>0.75*R163*'конкурсная документация'!S78+S164</f>
        <v>0</v>
      </c>
      <c r="T165" s="194">
        <f>0.75*S163*'конкурсная документация'!T78+T164</f>
        <v>0</v>
      </c>
      <c r="U165" s="194">
        <f>0.75*T163*'конкурсная документация'!U78+U164</f>
        <v>0</v>
      </c>
      <c r="V165" s="194">
        <f>0.75*U163*'конкурсная документация'!V78+V164</f>
        <v>0</v>
      </c>
      <c r="W165" s="194">
        <f>0.75*V163*'конкурсная документация'!W78+W164</f>
        <v>0</v>
      </c>
      <c r="X165" s="194">
        <f>0.75*W163*'конкурсная документация'!X78+X164</f>
        <v>0</v>
      </c>
      <c r="Y165" s="194">
        <f>0.75*X163*'конкурсная документация'!Y78+Y164</f>
        <v>0</v>
      </c>
      <c r="Z165" s="194">
        <f>0.75*Y163*'конкурсная документация'!Z78+Z164</f>
        <v>0</v>
      </c>
      <c r="AA165" s="194">
        <f>0.75*Z163*'конкурсная документация'!AA78+AA164</f>
        <v>0</v>
      </c>
      <c r="AB165" s="194">
        <f>0.75*AA163*'конкурсная документация'!AB78+AB164</f>
        <v>0</v>
      </c>
      <c r="AC165" s="194">
        <f>0.75*AB163*'конкурсная документация'!AC78+AC164</f>
        <v>0</v>
      </c>
      <c r="AD165" s="194">
        <f>0.75*AC163*'конкурсная документация'!AD78+AD164</f>
        <v>0</v>
      </c>
      <c r="AE165" s="194">
        <f>0.75*AD163*'конкурсная документация'!AE78+AE164</f>
        <v>0</v>
      </c>
      <c r="AF165" s="194">
        <f>0.75*AE163*'конкурсная документация'!AF78+AF164</f>
        <v>0</v>
      </c>
    </row>
    <row r="166" spans="1:32" s="16" customFormat="1" ht="20.25" customHeight="1">
      <c r="A166" s="212" t="s">
        <v>61</v>
      </c>
      <c r="B166" s="214"/>
      <c r="C166" s="214">
        <f>SUM(C167)</f>
        <v>0.2243851593984</v>
      </c>
      <c r="D166" s="214">
        <f aca="true" t="shared" si="84" ref="D166:L166">SUM(D167)</f>
        <v>0.243457897947264</v>
      </c>
      <c r="E166" s="214">
        <f t="shared" si="84"/>
        <v>0.27129682370331343</v>
      </c>
      <c r="F166" s="214">
        <f t="shared" si="84"/>
        <v>0.2910653584781414</v>
      </c>
      <c r="G166" s="214">
        <f t="shared" si="84"/>
        <v>0.32089315599139256</v>
      </c>
      <c r="H166" s="214">
        <f t="shared" si="84"/>
        <v>0.347577616017998</v>
      </c>
      <c r="I166" s="214">
        <f t="shared" si="84"/>
        <v>0.38333026705853657</v>
      </c>
      <c r="J166" s="214">
        <f t="shared" si="84"/>
        <v>0.4147952931462581</v>
      </c>
      <c r="K166" s="214">
        <f>SUM(K167)</f>
        <v>0.46579818378311943</v>
      </c>
      <c r="L166" s="214">
        <f t="shared" si="84"/>
        <v>0.4867151588284746</v>
      </c>
      <c r="M166" s="214">
        <f aca="true" t="shared" si="85" ref="M166:AF166">SUM(M167)</f>
        <v>0.5083833433032423</v>
      </c>
      <c r="N166" s="214">
        <f t="shared" si="85"/>
        <v>0.5414282606179529</v>
      </c>
      <c r="O166" s="214">
        <f t="shared" si="85"/>
        <v>0.5653148015275685</v>
      </c>
      <c r="P166" s="214">
        <f t="shared" si="85"/>
        <v>0.6020602636268603</v>
      </c>
      <c r="Q166" s="214">
        <f t="shared" si="85"/>
        <v>0.6283702971473542</v>
      </c>
      <c r="R166" s="214">
        <f t="shared" si="85"/>
        <v>0.669214366461932</v>
      </c>
      <c r="S166" s="214">
        <f t="shared" si="85"/>
        <v>0.6981681308884482</v>
      </c>
      <c r="T166" s="214">
        <f t="shared" si="85"/>
        <v>0.7435490593961973</v>
      </c>
      <c r="U166" s="214">
        <f t="shared" si="85"/>
        <v>0.775382253501597</v>
      </c>
      <c r="V166" s="214">
        <f t="shared" si="85"/>
        <v>0.8257820999792008</v>
      </c>
      <c r="W166" s="214">
        <f t="shared" si="85"/>
        <v>0.8607460654889584</v>
      </c>
      <c r="X166" s="214">
        <f t="shared" si="85"/>
        <v>0.9166945597457405</v>
      </c>
      <c r="Y166" s="214">
        <f t="shared" si="85"/>
        <v>0.9550562342568394</v>
      </c>
      <c r="Z166" s="214">
        <f t="shared" si="85"/>
        <v>1.017134889483534</v>
      </c>
      <c r="AA166" s="214">
        <f t="shared" si="85"/>
        <v>1.05917646491552</v>
      </c>
      <c r="AB166" s="214">
        <f t="shared" si="85"/>
        <v>1.128022935135029</v>
      </c>
      <c r="AC166" s="214">
        <f t="shared" si="85"/>
        <v>1.2013444259188057</v>
      </c>
      <c r="AD166" s="214">
        <f t="shared" si="85"/>
        <v>1.2503538178398115</v>
      </c>
      <c r="AE166" s="214">
        <f t="shared" si="85"/>
        <v>1.331626815999399</v>
      </c>
      <c r="AF166" s="214">
        <f t="shared" si="85"/>
        <v>1.41818255903936</v>
      </c>
    </row>
    <row r="167" spans="1:32" s="16" customFormat="1" ht="14.25" customHeight="1">
      <c r="A167" s="215" t="s">
        <v>19</v>
      </c>
      <c r="B167" s="195"/>
      <c r="C167" s="195">
        <f aca="true" t="shared" si="86" ref="C167:AF167">C168*C169/1000</f>
        <v>0.2243851593984</v>
      </c>
      <c r="D167" s="195">
        <f t="shared" si="86"/>
        <v>0.243457897947264</v>
      </c>
      <c r="E167" s="195">
        <f t="shared" si="86"/>
        <v>0.27129682370331343</v>
      </c>
      <c r="F167" s="195">
        <f t="shared" si="86"/>
        <v>0.2910653584781414</v>
      </c>
      <c r="G167" s="195">
        <f t="shared" si="86"/>
        <v>0.32089315599139256</v>
      </c>
      <c r="H167" s="195">
        <f t="shared" si="86"/>
        <v>0.347577616017998</v>
      </c>
      <c r="I167" s="195">
        <f t="shared" si="86"/>
        <v>0.38333026705853657</v>
      </c>
      <c r="J167" s="195">
        <f t="shared" si="86"/>
        <v>0.4147952931462581</v>
      </c>
      <c r="K167" s="195">
        <f t="shared" si="86"/>
        <v>0.46579818378311943</v>
      </c>
      <c r="L167" s="195">
        <f t="shared" si="86"/>
        <v>0.4867151588284746</v>
      </c>
      <c r="M167" s="195">
        <f t="shared" si="86"/>
        <v>0.5083833433032423</v>
      </c>
      <c r="N167" s="195">
        <f t="shared" si="86"/>
        <v>0.5414282606179529</v>
      </c>
      <c r="O167" s="195">
        <f t="shared" si="86"/>
        <v>0.5653148015275685</v>
      </c>
      <c r="P167" s="195">
        <f t="shared" si="86"/>
        <v>0.6020602636268603</v>
      </c>
      <c r="Q167" s="195">
        <f t="shared" si="86"/>
        <v>0.6283702971473542</v>
      </c>
      <c r="R167" s="195">
        <f t="shared" si="86"/>
        <v>0.669214366461932</v>
      </c>
      <c r="S167" s="195">
        <f t="shared" si="86"/>
        <v>0.6981681308884482</v>
      </c>
      <c r="T167" s="195">
        <f t="shared" si="86"/>
        <v>0.7435490593961973</v>
      </c>
      <c r="U167" s="195">
        <f t="shared" si="86"/>
        <v>0.775382253501597</v>
      </c>
      <c r="V167" s="195">
        <f t="shared" si="86"/>
        <v>0.8257820999792008</v>
      </c>
      <c r="W167" s="195">
        <f t="shared" si="86"/>
        <v>0.8607460654889584</v>
      </c>
      <c r="X167" s="195">
        <f t="shared" si="86"/>
        <v>0.9166945597457405</v>
      </c>
      <c r="Y167" s="195">
        <f t="shared" si="86"/>
        <v>0.9550562342568394</v>
      </c>
      <c r="Z167" s="195">
        <f t="shared" si="86"/>
        <v>1.017134889483534</v>
      </c>
      <c r="AA167" s="195">
        <f t="shared" si="86"/>
        <v>1.05917646491552</v>
      </c>
      <c r="AB167" s="195">
        <f t="shared" si="86"/>
        <v>1.128022935135029</v>
      </c>
      <c r="AC167" s="195">
        <f t="shared" si="86"/>
        <v>1.2013444259188057</v>
      </c>
      <c r="AD167" s="195">
        <f t="shared" si="86"/>
        <v>1.2503538178398115</v>
      </c>
      <c r="AE167" s="195">
        <f t="shared" si="86"/>
        <v>1.331626815999399</v>
      </c>
      <c r="AF167" s="195">
        <f t="shared" si="86"/>
        <v>1.41818255903936</v>
      </c>
    </row>
    <row r="168" spans="1:32" s="16" customFormat="1" ht="30">
      <c r="A168" s="234" t="s">
        <v>101</v>
      </c>
      <c r="B168" s="220"/>
      <c r="C168" s="194">
        <f>'конкурсные предложения'!B42*'конкурсная документация'!C84</f>
        <v>53.42400000000001</v>
      </c>
      <c r="D168" s="194">
        <f>'конкурсные предложения'!C42*'конкурсная документация'!D84</f>
        <v>53.42400000000001</v>
      </c>
      <c r="E168" s="194">
        <f>'конкурсные предложения'!D42*'конкурсная документация'!E84</f>
        <v>55.328</v>
      </c>
      <c r="F168" s="194">
        <f>'конкурсные предложения'!E42*'конкурсная документация'!F84</f>
        <v>56.265</v>
      </c>
      <c r="G168" s="194">
        <f>'конкурсные предложения'!F42*'конкурсная документация'!G84</f>
        <v>58.245000000000005</v>
      </c>
      <c r="H168" s="194">
        <f>'конкурсные предложения'!G42*'конкурсная документация'!H84</f>
        <v>59.23800000000001</v>
      </c>
      <c r="I168" s="194">
        <f>'конкурсные предложения'!H42*'конкурсная документация'!I84</f>
        <v>61.344</v>
      </c>
      <c r="J168" s="194">
        <f>'конкурсные предложения'!I42*'конкурсная документация'!J84</f>
        <v>62.328</v>
      </c>
      <c r="K168" s="194">
        <f>'конкурсные предложения'!J42*'конкурсная документация'!K84</f>
        <v>65.72</v>
      </c>
      <c r="L168" s="194">
        <f>'конкурсные предложения'!K42*'конкурсная документация'!L84</f>
        <v>64.48</v>
      </c>
      <c r="M168" s="194">
        <f>'конкурсные предложения'!L42*'конкурсная документация'!M84</f>
        <v>63.24</v>
      </c>
      <c r="N168" s="194">
        <f>'конкурсные предложения'!M42*'конкурсная документация'!N84</f>
        <v>63.24</v>
      </c>
      <c r="O168" s="194">
        <f>'конкурсные предложения'!N42*'конкурсная документация'!O84</f>
        <v>62</v>
      </c>
      <c r="P168" s="194">
        <f>'конкурсные предложения'!O42*'конкурсная документация'!P84</f>
        <v>62</v>
      </c>
      <c r="Q168" s="194">
        <f>'конкурсные предложения'!P42*'конкурсная документация'!Q84</f>
        <v>60.76</v>
      </c>
      <c r="R168" s="194">
        <f>'конкурсные предложения'!Q42*'конкурсная документация'!R84</f>
        <v>60.76</v>
      </c>
      <c r="S168" s="194">
        <f>'конкурсные предложения'!R42*'конкурсная документация'!S84</f>
        <v>59.519999999999996</v>
      </c>
      <c r="T168" s="194">
        <f>'конкурсные предложения'!S42*'конкурсная документация'!T84</f>
        <v>59.519999999999996</v>
      </c>
      <c r="U168" s="194">
        <f>'конкурсные предложения'!T42*'конкурсная документация'!U84</f>
        <v>58.279999999999994</v>
      </c>
      <c r="V168" s="194">
        <f>'конкурсные предложения'!U42*'конкурсная документация'!V84</f>
        <v>58.279999999999994</v>
      </c>
      <c r="W168" s="194">
        <f>'конкурсные предложения'!V42*'конкурсная документация'!W84</f>
        <v>57.04</v>
      </c>
      <c r="X168" s="194">
        <f>'конкурсные предложения'!W42*'конкурсная документация'!X84</f>
        <v>57.04</v>
      </c>
      <c r="Y168" s="194">
        <f>'конкурсные предложения'!X42*'конкурсная документация'!Y84</f>
        <v>55.800000000000004</v>
      </c>
      <c r="Z168" s="194">
        <f>'конкурсные предложения'!Y42*'конкурсная документация'!Z84</f>
        <v>55.800000000000004</v>
      </c>
      <c r="AA168" s="194">
        <f>'конкурсные предложения'!Z42*'конкурсная документация'!AA84</f>
        <v>54.56</v>
      </c>
      <c r="AB168" s="194">
        <f>'конкурсные предложения'!AA42*'конкурсная документация'!AB84</f>
        <v>54.56</v>
      </c>
      <c r="AC168" s="194">
        <f>'конкурсные предложения'!AB42*'конкурсная документация'!AC84</f>
        <v>54.56</v>
      </c>
      <c r="AD168" s="194">
        <f>'конкурсные предложения'!AC42*'конкурсная документация'!AD84</f>
        <v>53.32</v>
      </c>
      <c r="AE168" s="194">
        <f>'конкурсные предложения'!AD42*'конкурсная документация'!AE84</f>
        <v>53.32</v>
      </c>
      <c r="AF168" s="194">
        <f>'конкурсные предложения'!AE42*'конкурсная документация'!AF84</f>
        <v>53.32</v>
      </c>
    </row>
    <row r="169" spans="1:32" s="170" customFormat="1" ht="15" customHeight="1">
      <c r="A169" s="217" t="s">
        <v>21</v>
      </c>
      <c r="B169" s="221"/>
      <c r="C169" s="206">
        <f>'конкурсная документация'!$B$15*C10</f>
        <v>4.2000816</v>
      </c>
      <c r="D169" s="206">
        <f>'конкурсная документация'!$B$15*D10</f>
        <v>4.557088535999999</v>
      </c>
      <c r="E169" s="206">
        <f>'конкурсная документация'!$B$15*E10</f>
        <v>4.903427264736</v>
      </c>
      <c r="F169" s="206">
        <f>'конкурсная документация'!$B$15*F10</f>
        <v>5.17311576429648</v>
      </c>
      <c r="G169" s="206">
        <f>'конкурсная документация'!$B$15*G10</f>
        <v>5.50936828897575</v>
      </c>
      <c r="H169" s="206">
        <f>'конкурсная документация'!$B$15*H10</f>
        <v>5.867477227759174</v>
      </c>
      <c r="I169" s="206">
        <f>'конкурсная документация'!$B$15*I10</f>
        <v>6.24886324756352</v>
      </c>
      <c r="J169" s="206">
        <f>'конкурсная документация'!$B$15*J10</f>
        <v>6.655039358655149</v>
      </c>
      <c r="K169" s="206">
        <f>'конкурсная документация'!$B$15*K10</f>
        <v>7.087616916967733</v>
      </c>
      <c r="L169" s="206">
        <f>'конкурсная документация'!$B$15*L10</f>
        <v>7.548312016570636</v>
      </c>
      <c r="M169" s="206">
        <f>'конкурсная документация'!$B$15*M10</f>
        <v>8.038952297647727</v>
      </c>
      <c r="N169" s="206">
        <f>'конкурсная документация'!$B$15*N10</f>
        <v>8.561484196994828</v>
      </c>
      <c r="O169" s="206">
        <f>'конкурсная документация'!$B$15*O10</f>
        <v>9.117980669799492</v>
      </c>
      <c r="P169" s="206">
        <f>'конкурсная документация'!$B$15*P10</f>
        <v>9.710649413336457</v>
      </c>
      <c r="Q169" s="206">
        <f>'конкурсная документация'!$B$15*Q10</f>
        <v>10.341841625203326</v>
      </c>
      <c r="R169" s="206">
        <f>'конкурсная документация'!$B$15*R10</f>
        <v>11.01406133084154</v>
      </c>
      <c r="S169" s="206">
        <f>'конкурсная документация'!$B$15*S10</f>
        <v>11.729975317346241</v>
      </c>
      <c r="T169" s="206">
        <f>'конкурсная документация'!$B$15*T10</f>
        <v>12.492423712973746</v>
      </c>
      <c r="U169" s="206">
        <f>'конкурсная документация'!$B$15*U10</f>
        <v>13.30443125431704</v>
      </c>
      <c r="V169" s="206">
        <f>'конкурсная документация'!$B$15*V10</f>
        <v>14.169219285847646</v>
      </c>
      <c r="W169" s="206">
        <f>'конкурсная документация'!$B$15*W10</f>
        <v>15.090218539427742</v>
      </c>
      <c r="X169" s="206">
        <f>'конкурсная документация'!$B$15*X10</f>
        <v>16.071082744490543</v>
      </c>
      <c r="Y169" s="206">
        <f>'конкурсная документация'!$B$15*Y10</f>
        <v>17.115703122882426</v>
      </c>
      <c r="Z169" s="206">
        <f>'конкурсная документация'!$B$15*Z10</f>
        <v>18.228223825869783</v>
      </c>
      <c r="AA169" s="206">
        <f>'конкурсная документация'!$B$15*AA10</f>
        <v>19.41305837455132</v>
      </c>
      <c r="AB169" s="206">
        <f>'конкурсная документация'!$B$15*AB10</f>
        <v>20.674907168897157</v>
      </c>
      <c r="AC169" s="206">
        <f>'конкурсная документация'!$B$15*AC10</f>
        <v>22.01877613487547</v>
      </c>
      <c r="AD169" s="206">
        <f>'конкурсная документация'!$B$15*AD10</f>
        <v>23.449996583642374</v>
      </c>
      <c r="AE169" s="206">
        <f>'конкурсная документация'!$B$15*AE10</f>
        <v>24.974246361579127</v>
      </c>
      <c r="AF169" s="206">
        <f>'конкурсная документация'!$B$15*AF10</f>
        <v>26.59757237508177</v>
      </c>
    </row>
    <row r="170" spans="1:32" s="16" customFormat="1" ht="15">
      <c r="A170" s="99" t="s">
        <v>9</v>
      </c>
      <c r="B170" s="195"/>
      <c r="C170" s="195">
        <f aca="true" t="shared" si="87" ref="C170:H170">SUM(C171:C175)</f>
        <v>700.5878509107823</v>
      </c>
      <c r="D170" s="195">
        <f t="shared" si="87"/>
        <v>735.2615949743358</v>
      </c>
      <c r="E170" s="195">
        <f t="shared" si="87"/>
        <v>777.630041882985</v>
      </c>
      <c r="F170" s="195">
        <f t="shared" si="87"/>
        <v>816.7849495557224</v>
      </c>
      <c r="G170" s="195">
        <f t="shared" si="87"/>
        <v>834.9168945650006</v>
      </c>
      <c r="H170" s="195">
        <f t="shared" si="87"/>
        <v>866.3034184737426</v>
      </c>
      <c r="I170" s="195">
        <f aca="true" t="shared" si="88" ref="I170:P170">SUM(I171:I175)</f>
        <v>906.1604112388939</v>
      </c>
      <c r="J170" s="195">
        <f t="shared" si="88"/>
        <v>947.3963208080795</v>
      </c>
      <c r="K170" s="195">
        <f t="shared" si="88"/>
        <v>985.5319405729736</v>
      </c>
      <c r="L170" s="195">
        <f t="shared" si="88"/>
        <v>1009.5058520820023</v>
      </c>
      <c r="M170" s="195">
        <f t="shared" si="88"/>
        <v>1034.311431284471</v>
      </c>
      <c r="N170" s="195">
        <f t="shared" si="88"/>
        <v>1097.030288210262</v>
      </c>
      <c r="O170" s="195">
        <f t="shared" si="88"/>
        <v>1141.3110022657454</v>
      </c>
      <c r="P170" s="195">
        <f t="shared" si="88"/>
        <v>1224.0600637444238</v>
      </c>
      <c r="Q170" s="195">
        <f>SUM(Q171:Q175)</f>
        <v>1278.8518414125572</v>
      </c>
      <c r="R170" s="195">
        <f aca="true" t="shared" si="89" ref="R170:AF170">SUM(R171:R175)</f>
        <v>1333.656125751958</v>
      </c>
      <c r="S170" s="195">
        <f t="shared" si="89"/>
        <v>1396.7004814544157</v>
      </c>
      <c r="T170" s="195">
        <f t="shared" si="89"/>
        <v>1474.4846826544654</v>
      </c>
      <c r="U170" s="195">
        <f t="shared" si="89"/>
        <v>1546.4843673596129</v>
      </c>
      <c r="V170" s="195">
        <f t="shared" si="89"/>
        <v>1634.571112604789</v>
      </c>
      <c r="W170" s="195">
        <f t="shared" si="89"/>
        <v>1712.8928864086558</v>
      </c>
      <c r="X170" s="195">
        <f t="shared" si="89"/>
        <v>1794.1645584808566</v>
      </c>
      <c r="Y170" s="195">
        <f t="shared" si="89"/>
        <v>1879.357259886935</v>
      </c>
      <c r="Z170" s="195">
        <f t="shared" si="89"/>
        <v>1967.3581514680259</v>
      </c>
      <c r="AA170" s="195">
        <f t="shared" si="89"/>
        <v>2059.976112854354</v>
      </c>
      <c r="AB170" s="195">
        <f t="shared" si="89"/>
        <v>2155.940807640283</v>
      </c>
      <c r="AC170" s="195">
        <f t="shared" si="89"/>
        <v>2256.3733327596346</v>
      </c>
      <c r="AD170" s="195">
        <f t="shared" si="89"/>
        <v>2374.635404207803</v>
      </c>
      <c r="AE170" s="195">
        <f t="shared" si="89"/>
        <v>2486.918474080336</v>
      </c>
      <c r="AF170" s="195">
        <f t="shared" si="89"/>
        <v>2604.7331714786824</v>
      </c>
    </row>
    <row r="171" spans="1:32" s="170" customFormat="1" ht="14.25" customHeight="1">
      <c r="A171" s="248" t="s">
        <v>20</v>
      </c>
      <c r="B171" s="221"/>
      <c r="C171" s="206">
        <f>'конкурсная документация'!C72*C12</f>
        <v>0</v>
      </c>
      <c r="D171" s="206">
        <f>'конкурсная документация'!D72*D12</f>
        <v>0</v>
      </c>
      <c r="E171" s="206">
        <f>'конкурсная документация'!E72*E12</f>
        <v>0</v>
      </c>
      <c r="F171" s="206">
        <f>'конкурсная документация'!F72*F12</f>
        <v>0</v>
      </c>
      <c r="G171" s="206">
        <f>'конкурсная документация'!G72*G12</f>
        <v>0</v>
      </c>
      <c r="H171" s="206">
        <f>'конкурсная документация'!H72*H12</f>
        <v>0</v>
      </c>
      <c r="I171" s="206">
        <f>'конкурсная документация'!I72*I12</f>
        <v>0</v>
      </c>
      <c r="J171" s="206">
        <f>'конкурсная документация'!J72*J12</f>
        <v>0</v>
      </c>
      <c r="K171" s="206">
        <f>'конкурсная документация'!K72*K12</f>
        <v>0</v>
      </c>
      <c r="L171" s="206">
        <f>'конкурсная документация'!L72*L12</f>
        <v>0</v>
      </c>
      <c r="M171" s="206">
        <f>'конкурсная документация'!M72*M12</f>
        <v>0</v>
      </c>
      <c r="N171" s="206">
        <f>'конкурсная документация'!N72*N12</f>
        <v>0</v>
      </c>
      <c r="O171" s="206">
        <f>'конкурсная документация'!O72*O12</f>
        <v>0</v>
      </c>
      <c r="P171" s="206">
        <f>'конкурсная документация'!P72*P12</f>
        <v>0</v>
      </c>
      <c r="Q171" s="206">
        <f>'конкурсная документация'!Q72*Q12</f>
        <v>0</v>
      </c>
      <c r="R171" s="206">
        <f>'конкурсная документация'!R72*R12</f>
        <v>0</v>
      </c>
      <c r="S171" s="206">
        <f>'конкурсная документация'!S72*S12</f>
        <v>0</v>
      </c>
      <c r="T171" s="206">
        <f>'конкурсная документация'!T72*T12</f>
        <v>0</v>
      </c>
      <c r="U171" s="206">
        <f>'конкурсная документация'!U72*U12</f>
        <v>0</v>
      </c>
      <c r="V171" s="206">
        <f>'конкурсная документация'!V72*V12</f>
        <v>0</v>
      </c>
      <c r="W171" s="206">
        <f>'конкурсная документация'!W72*W12</f>
        <v>0</v>
      </c>
      <c r="X171" s="206">
        <f>'конкурсная документация'!X72*X12</f>
        <v>0</v>
      </c>
      <c r="Y171" s="206">
        <f>'конкурсная документация'!Y72*Y12</f>
        <v>0</v>
      </c>
      <c r="Z171" s="206">
        <f>'конкурсная документация'!Z72*Z12</f>
        <v>0</v>
      </c>
      <c r="AA171" s="206">
        <f>'конкурсная документация'!AA72*AA12</f>
        <v>0</v>
      </c>
      <c r="AB171" s="206">
        <f>'конкурсная документация'!AB72*AB12</f>
        <v>0</v>
      </c>
      <c r="AC171" s="206">
        <f>'конкурсная документация'!AC72*AC12</f>
        <v>0</v>
      </c>
      <c r="AD171" s="206">
        <f>'конкурсная документация'!AD72*AD12</f>
        <v>0</v>
      </c>
      <c r="AE171" s="206">
        <f>'конкурсная документация'!AE72*AE12</f>
        <v>0</v>
      </c>
      <c r="AF171" s="206">
        <f>'конкурсная документация'!AF72*AF12</f>
        <v>0</v>
      </c>
    </row>
    <row r="172" spans="1:32" s="16" customFormat="1" ht="15">
      <c r="A172" s="207" t="s">
        <v>10</v>
      </c>
      <c r="B172" s="220"/>
      <c r="C172" s="220">
        <f>(C159+C160)*'конкурсная документация'!$B$10/(1-'конкурсная документация'!$B$10)</f>
        <v>7.49935091078233</v>
      </c>
      <c r="D172" s="220">
        <f>(D159+D160)*'конкурсная документация'!$B$10/(1-'конкурсная документация'!$B$10)</f>
        <v>9.64102836846921</v>
      </c>
      <c r="E172" s="220">
        <f>(E159+E160)*'конкурсная документация'!$B$10/(1-'конкурсная документация'!$B$10)</f>
        <v>14.423614419224995</v>
      </c>
      <c r="F172" s="220">
        <f>(F159+F160)*'конкурсная документация'!$B$10/(1-'конкурсная документация'!$B$10)</f>
        <v>23.999632393954347</v>
      </c>
      <c r="G172" s="220">
        <f>(G159+G160)*'конкурсная документация'!$B$10/(1-'конкурсная документация'!$B$10)</f>
        <v>23.37003656185849</v>
      </c>
      <c r="H172" s="220">
        <f>(H159+H160)*'конкурсная документация'!$B$10/(1-'конкурсная документация'!$B$10)</f>
        <v>35.35691816324618</v>
      </c>
      <c r="I172" s="220">
        <f>(I159+I160)*'конкурсная документация'!$B$10/(1-'конкурсная документация'!$B$10)</f>
        <v>54.439158036704974</v>
      </c>
      <c r="J172" s="220">
        <f>(J159+J160)*'конкурсная документация'!$B$10/(1-'конкурсная документация'!$B$10)</f>
        <v>73.42786708479034</v>
      </c>
      <c r="K172" s="220">
        <f>(K159+K160)*'конкурсная документация'!$B$10/(1-'конкурсная документация'!$B$10)</f>
        <v>87.73969544604009</v>
      </c>
      <c r="L172" s="220">
        <f>(L159+L160)*'конкурсная документация'!$B$10/(1-'конкурсная документация'!$B$10)</f>
        <v>86.20271951352099</v>
      </c>
      <c r="M172" s="220">
        <f>(M159+M160)*'конкурсная документация'!$B$10/(1-'конкурсная документация'!$B$10)</f>
        <v>83.86511005994224</v>
      </c>
      <c r="N172" s="220">
        <f>(N159+N160)*'конкурсная документация'!$B$10/(1-'конкурсная документация'!$B$10)</f>
        <v>114.74679270421606</v>
      </c>
      <c r="O172" s="220">
        <f>(O159+O160)*'конкурсная документация'!$B$10/(1-'конкурсная документация'!$B$10)</f>
        <v>121.50076804963068</v>
      </c>
      <c r="P172" s="220">
        <f>(P159+P160)*'конкурсная документация'!$B$10/(1-'конкурсная документация'!$B$10)</f>
        <v>160.35288625915763</v>
      </c>
      <c r="Q172" s="220">
        <f>(Q159+Q160)*'конкурсная документация'!$B$10/(1-'конкурсная документация'!$B$10)</f>
        <v>164.9091580524935</v>
      </c>
      <c r="R172" s="220">
        <f>(R159+R160)*'конкурсная документация'!$B$10/(1-'конкурсная документация'!$B$10)</f>
        <v>164.50043533367565</v>
      </c>
      <c r="S172" s="220">
        <f>(S159+S160)*'конкурсная документация'!$B$10/(1-'конкурсная документация'!$B$10)</f>
        <v>165.73765147125548</v>
      </c>
      <c r="T172" s="220">
        <f>(T159+T160)*'конкурсная документация'!$B$10/(1-'конкурсная документация'!$B$10)</f>
        <v>176.8810026070694</v>
      </c>
      <c r="U172" s="220">
        <f>(U159+U160)*'конкурсная документация'!$B$10/(1-'конкурсная документация'!$B$10)</f>
        <v>179.0230987801919</v>
      </c>
      <c r="V172" s="220">
        <f>(V159+V160)*'конкурсная документация'!$B$10/(1-'конкурсная документация'!$B$10)</f>
        <v>192.66117715228398</v>
      </c>
      <c r="W172" s="220">
        <f>(W159+W160)*'конкурсная документация'!$B$10/(1-'конкурсная документация'!$B$10)</f>
        <v>191.84115947393767</v>
      </c>
      <c r="X172" s="220">
        <f>(X159+X160)*'конкурсная документация'!$B$10/(1-'конкурсная документация'!$B$10)</f>
        <v>190.19234101460663</v>
      </c>
      <c r="Y172" s="220">
        <f>(Y159+Y160)*'конкурсная документация'!$B$10/(1-'конкурсная документация'!$B$10)</f>
        <v>188.42806605275075</v>
      </c>
      <c r="Z172" s="220">
        <f>(Z159+Z160)*'конкурсная документация'!$B$10/(1-'конкурсная документация'!$B$10)</f>
        <v>185.1630708230079</v>
      </c>
      <c r="AA172" s="220">
        <f>(AA159+AA160)*'конкурсная документация'!$B$10/(1-'конкурсная документация'!$B$10)</f>
        <v>181.91429970303165</v>
      </c>
      <c r="AB172" s="220">
        <f>(AB159+AB160)*'конкурсная документация'!$B$10/(1-'конкурсная документация'!$B$10)</f>
        <v>177.09948249837967</v>
      </c>
      <c r="AC172" s="220">
        <f>(AC159+AC160)*'конкурсная документация'!$B$10/(1-'конкурсная документация'!$B$10)</f>
        <v>171.50598981209342</v>
      </c>
      <c r="AD172" s="220">
        <f>(AD159+AD160)*'конкурсная документация'!$B$10/(1-'конкурсная документация'!$B$10)</f>
        <v>177.24539497885732</v>
      </c>
      <c r="AE172" s="220">
        <f>(AE159+AE160)*'конкурсная документация'!$B$10/(1-'конкурсная документация'!$B$10)</f>
        <v>170.121911963117</v>
      </c>
      <c r="AF172" s="220">
        <f>(AF159+AF160)*'конкурсная документация'!$B$10/(1-'конкурсная документация'!$B$10)</f>
        <v>162.1247709669924</v>
      </c>
    </row>
    <row r="173" spans="1:32" s="170" customFormat="1" ht="15">
      <c r="A173" s="248" t="s">
        <v>215</v>
      </c>
      <c r="B173" s="221"/>
      <c r="C173" s="221">
        <f>'конкурсная документация'!C74+(C179+D179)*'конкурсная документация'!$B$9/2</f>
        <v>501.0285</v>
      </c>
      <c r="D173" s="221">
        <f>'конкурсная документация'!D74+(D179+E179)*'конкурсная документация'!$B$9/2</f>
        <v>514.3545666058667</v>
      </c>
      <c r="E173" s="221">
        <f>'конкурсная документация'!E74+(E179+F179)*'конкурсная документация'!$B$9/2</f>
        <v>539.26446746376</v>
      </c>
      <c r="F173" s="221">
        <f>'конкурсная документация'!F74+(F179+G179)*'конкурсная документация'!$B$9/2</f>
        <v>553.167419961768</v>
      </c>
      <c r="G173" s="221">
        <f>'конкурсная документация'!G74+(G179+H179)*'конкурсная документация'!$B$9/2</f>
        <v>555.1557079991421</v>
      </c>
      <c r="H173" s="221">
        <f>'конкурсная документация'!H74+(H179+I179)*'конкурсная документация'!$B$9/2</f>
        <v>556.6079698062163</v>
      </c>
      <c r="I173" s="221">
        <f>'конкурсная документация'!I74+(I179+J179)*'конкурсная документация'!$B$9/2</f>
        <v>558.1790255626092</v>
      </c>
      <c r="J173" s="221">
        <f>'конкурсная документация'!J74+(J179+K179)*'конкурсная документация'!$B$9/2</f>
        <v>559.8782701489389</v>
      </c>
      <c r="K173" s="221">
        <f>'конкурсная документация'!K74+(K179+L179)*'конкурсная документация'!$B$9/2</f>
        <v>561.7157487023787</v>
      </c>
      <c r="L173" s="221">
        <f>'конкурсная документация'!L74+(L179+M179)*'конкурсная документация'!$B$9/2</f>
        <v>563.7012813942076</v>
      </c>
      <c r="M173" s="221">
        <f>'конкурсная документация'!M74+(M179+N179)*'конкурсная документация'!$B$9/2</f>
        <v>565.6723404680558</v>
      </c>
      <c r="N173" s="221">
        <f>'конкурсная документация'!N74+(N179+O179)*'конкурсная документация'!$B$9/2</f>
        <v>570.5753360966199</v>
      </c>
      <c r="O173" s="221">
        <f>'конкурсная документация'!O74+(O179+P179)*'конкурсная документация'!$B$9/2</f>
        <v>579.282503648029</v>
      </c>
      <c r="P173" s="221">
        <f>'конкурсная документация'!P74+(P179+Q179)*'конкурсная документация'!$B$9/2</f>
        <v>592.3425057774143</v>
      </c>
      <c r="Q173" s="221">
        <f>'конкурсная документация'!Q74+(Q179+R179)*'конкурсная документация'!$B$9/2</f>
        <v>609.5824846326623</v>
      </c>
      <c r="R173" s="221">
        <f>'конкурсная документация'!R74+(R179+S179)*'конкурсная документация'!$B$9/2</f>
        <v>629.4902777799628</v>
      </c>
      <c r="S173" s="221">
        <f>'конкурсная документация'!S74+(S179+T179)*'конкурсная документация'!$B$9/2</f>
        <v>653.5208384601583</v>
      </c>
      <c r="T173" s="221">
        <f>'конкурсная документация'!T74+(T179+U179)*'конкурсная документация'!$B$9/2</f>
        <v>679.7407491177839</v>
      </c>
      <c r="U173" s="221">
        <f>'конкурсная документация'!U74+(U179+V179)*'конкурсная документация'!$B$9/2</f>
        <v>706.347932484736</v>
      </c>
      <c r="V173" s="221">
        <f>'конкурсная документация'!V74+(V179+W179)*'конкурсная документация'!$B$9/2</f>
        <v>734.5186658311923</v>
      </c>
      <c r="W173" s="221">
        <f>'конкурсная документация'!W74+(W179+X179)*'конкурсная документация'!$B$9/2</f>
        <v>764.1430684399132</v>
      </c>
      <c r="X173" s="221">
        <f>'конкурсная документация'!X74+(X179+Y179)*'конкурсная документация'!$B$9/2</f>
        <v>794.0799528768084</v>
      </c>
      <c r="Y173" s="221">
        <f>'конкурсная документация'!Y74+(Y179+Z179)*'конкурсная документация'!$B$9/2</f>
        <v>824.3444707234819</v>
      </c>
      <c r="Z173" s="221">
        <f>'конкурсная документация'!Z74+(Z179+AA179)*'конкурсная документация'!$B$9/2</f>
        <v>854.9494269165663</v>
      </c>
      <c r="AA173" s="221">
        <f>'конкурсная документация'!AA74+(AA179+AB179)*'конкурсная документация'!$B$9/2</f>
        <v>885.9089636618793</v>
      </c>
      <c r="AB173" s="221">
        <f>'конкурсная документация'!AB74+(AB179+AC179)*'конкурсная документация'!$B$9/2</f>
        <v>917.2377761881987</v>
      </c>
      <c r="AC173" s="221">
        <f>'конкурсная документация'!AC74+(AC179+AD179)*'конкурсная документация'!$B$9/2</f>
        <v>948.9515455670773</v>
      </c>
      <c r="AD173" s="221">
        <f>'конкурсная документация'!AD74+(AD179+AE179)*'конкурсная документация'!$B$9/2</f>
        <v>981.9601060318489</v>
      </c>
      <c r="AE173" s="221">
        <f>'конкурсная документация'!AE74+(AE179+AF179)*'конкурсная документация'!$B$9/2</f>
        <v>1016.2865656963262</v>
      </c>
      <c r="AF173" s="221">
        <f>'конкурсная документация'!AF74+(AF179+AG179)*'конкурсная документация'!$B$9/2</f>
        <v>1051.0627043413342</v>
      </c>
    </row>
    <row r="174" spans="1:32" s="170" customFormat="1" ht="30">
      <c r="A174" s="249" t="s">
        <v>169</v>
      </c>
      <c r="B174" s="218"/>
      <c r="C174" s="206">
        <f>'конкурсная документация'!C73*C12</f>
        <v>0</v>
      </c>
      <c r="D174" s="206">
        <f>'конкурсная документация'!D73*D12</f>
        <v>0</v>
      </c>
      <c r="E174" s="206">
        <f>'конкурсная документация'!E73*E12</f>
        <v>0</v>
      </c>
      <c r="F174" s="206">
        <f>'конкурсная документация'!F73*F12</f>
        <v>0</v>
      </c>
      <c r="G174" s="206">
        <f>'конкурсная документация'!G73*G12</f>
        <v>0</v>
      </c>
      <c r="H174" s="206">
        <f>'конкурсная документация'!H73*H12</f>
        <v>0</v>
      </c>
      <c r="I174" s="206">
        <f>'конкурсная документация'!I73*I12</f>
        <v>0</v>
      </c>
      <c r="J174" s="206">
        <f>'конкурсная документация'!J73*J12</f>
        <v>0</v>
      </c>
      <c r="K174" s="206">
        <f>'конкурсная документация'!K73*K12</f>
        <v>0</v>
      </c>
      <c r="L174" s="206">
        <f>'конкурсная документация'!L73*L12</f>
        <v>0</v>
      </c>
      <c r="M174" s="206">
        <f>'конкурсная документация'!M73*M12</f>
        <v>0</v>
      </c>
      <c r="N174" s="206">
        <f>'конкурсная документация'!N73*N12</f>
        <v>0</v>
      </c>
      <c r="O174" s="206">
        <f>'конкурсная документация'!O73*O12</f>
        <v>0</v>
      </c>
      <c r="P174" s="206">
        <f>'конкурсная документация'!P73*P12</f>
        <v>0</v>
      </c>
      <c r="Q174" s="206">
        <f>'конкурсная документация'!Q73*Q12</f>
        <v>0</v>
      </c>
      <c r="R174" s="206">
        <f>'конкурсная документация'!R73*R12</f>
        <v>0</v>
      </c>
      <c r="S174" s="206">
        <f>'конкурсная документация'!S73*S12</f>
        <v>0</v>
      </c>
      <c r="T174" s="206">
        <f>'конкурсная документация'!T73*T12</f>
        <v>0</v>
      </c>
      <c r="U174" s="206">
        <f>'конкурсная документация'!U73*U12</f>
        <v>0</v>
      </c>
      <c r="V174" s="206">
        <f>'конкурсная документация'!V73*V12</f>
        <v>0</v>
      </c>
      <c r="W174" s="206">
        <f>'конкурсная документация'!W73*W12</f>
        <v>0</v>
      </c>
      <c r="X174" s="206">
        <f>'конкурсная документация'!X73*X12</f>
        <v>0</v>
      </c>
      <c r="Y174" s="206">
        <f>'конкурсная документация'!Y73*Y12</f>
        <v>0</v>
      </c>
      <c r="Z174" s="206">
        <f>'конкурсная документация'!Z73*Z12</f>
        <v>0</v>
      </c>
      <c r="AA174" s="206">
        <f>'конкурсная документация'!AA73*AA12</f>
        <v>0</v>
      </c>
      <c r="AB174" s="206">
        <f>'конкурсная документация'!AB73*AB12</f>
        <v>0</v>
      </c>
      <c r="AC174" s="206">
        <f>'конкурсная документация'!AC73*AC12</f>
        <v>0</v>
      </c>
      <c r="AD174" s="206">
        <f>'конкурсная документация'!AD73*AD12</f>
        <v>0</v>
      </c>
      <c r="AE174" s="206">
        <f>'конкурсная документация'!AE73*AE12</f>
        <v>0</v>
      </c>
      <c r="AF174" s="206">
        <f>'конкурсная документация'!AF73*AF12</f>
        <v>0</v>
      </c>
    </row>
    <row r="175" spans="1:32" s="170" customFormat="1" ht="15">
      <c r="A175" s="248" t="s">
        <v>18</v>
      </c>
      <c r="B175" s="246"/>
      <c r="C175" s="206">
        <f>'конкурсная документация'!C75*C12</f>
        <v>192.06</v>
      </c>
      <c r="D175" s="206">
        <f>'конкурсная документация'!D75*D12</f>
        <v>211.26600000000002</v>
      </c>
      <c r="E175" s="206">
        <f>'конкурсная документация'!E75*E12</f>
        <v>223.94196000000002</v>
      </c>
      <c r="F175" s="206">
        <f>'конкурсная документация'!F75*F12</f>
        <v>239.61789720000002</v>
      </c>
      <c r="G175" s="206">
        <f>'конкурсная документация'!G75*G12</f>
        <v>256.39115000400005</v>
      </c>
      <c r="H175" s="206">
        <f>'конкурсная документация'!H75*H12</f>
        <v>274.3385305042801</v>
      </c>
      <c r="I175" s="206">
        <f>'конкурсная документация'!I75*I12</f>
        <v>293.5422276395797</v>
      </c>
      <c r="J175" s="206">
        <f>'конкурсная документация'!J75*J12</f>
        <v>314.0901835743503</v>
      </c>
      <c r="K175" s="206">
        <f>'конкурсная документация'!K75*K12</f>
        <v>336.0764964245548</v>
      </c>
      <c r="L175" s="206">
        <f>'конкурсная документация'!L75*L12</f>
        <v>359.60185117427375</v>
      </c>
      <c r="M175" s="206">
        <f>'конкурсная документация'!M75*M12</f>
        <v>384.7739807564729</v>
      </c>
      <c r="N175" s="206">
        <f>'конкурсная документация'!N75*N12</f>
        <v>411.708159409426</v>
      </c>
      <c r="O175" s="206">
        <f>'конкурсная документация'!O75*O12</f>
        <v>440.5277305680858</v>
      </c>
      <c r="P175" s="206">
        <f>'конкурсная документация'!P75*P12</f>
        <v>471.36467170785187</v>
      </c>
      <c r="Q175" s="206">
        <f>'конкурсная документация'!Q75*Q12</f>
        <v>504.3601987274015</v>
      </c>
      <c r="R175" s="206">
        <f>'конкурсная документация'!R75*R12</f>
        <v>539.6654126383196</v>
      </c>
      <c r="S175" s="206">
        <f>'конкурсная документация'!S75*S12</f>
        <v>577.441991523002</v>
      </c>
      <c r="T175" s="206">
        <f>'конкурсная документация'!T75*T12</f>
        <v>617.8629309296122</v>
      </c>
      <c r="U175" s="206">
        <f>'конкурсная документация'!U75*U12</f>
        <v>661.113336094685</v>
      </c>
      <c r="V175" s="206">
        <f>'конкурсная документация'!V75*V12</f>
        <v>707.391269621313</v>
      </c>
      <c r="W175" s="206">
        <f>'конкурсная документация'!W75*W12</f>
        <v>756.908658494805</v>
      </c>
      <c r="X175" s="206">
        <f>'конкурсная документация'!X75*X12</f>
        <v>809.8922645894414</v>
      </c>
      <c r="Y175" s="206">
        <f>'конкурсная документация'!Y75*Y12</f>
        <v>866.5847231107024</v>
      </c>
      <c r="Z175" s="206">
        <f>'конкурсная документация'!Z75*Z12</f>
        <v>927.2456537284517</v>
      </c>
      <c r="AA175" s="206">
        <f>'конкурсная документация'!AA75*AA12</f>
        <v>992.1528494894433</v>
      </c>
      <c r="AB175" s="206">
        <f>'конкурсная документация'!AB75*AB12</f>
        <v>1061.6035489537044</v>
      </c>
      <c r="AC175" s="206">
        <f>'конкурсная документация'!AC75*AC12</f>
        <v>1135.9157973804638</v>
      </c>
      <c r="AD175" s="206">
        <f>'конкурсная документация'!AD75*AD12</f>
        <v>1215.4299031970963</v>
      </c>
      <c r="AE175" s="206">
        <f>'конкурсная документация'!AE75*AE12</f>
        <v>1300.509996420893</v>
      </c>
      <c r="AF175" s="206">
        <f>'конкурсная документация'!AF75*AF12</f>
        <v>1391.5456961703555</v>
      </c>
    </row>
    <row r="176" spans="1:32" s="16" customFormat="1" ht="60">
      <c r="A176" s="182" t="s">
        <v>219</v>
      </c>
      <c r="B176" s="198"/>
      <c r="C176" s="194">
        <f>'конкурсная документация'!C81</f>
        <v>34</v>
      </c>
      <c r="D176" s="194">
        <f>'конкурсная документация'!D81</f>
        <v>34</v>
      </c>
      <c r="E176" s="194">
        <f>'конкурсная документация'!E81</f>
        <v>34</v>
      </c>
      <c r="F176" s="194">
        <f>'конкурсная документация'!F81</f>
        <v>34</v>
      </c>
      <c r="G176" s="194">
        <f>'конкурсная документация'!G81</f>
        <v>34</v>
      </c>
      <c r="H176" s="194">
        <f>'конкурсная документация'!H81</f>
        <v>34</v>
      </c>
      <c r="I176" s="194">
        <f>'конкурсная документация'!I81</f>
        <v>34</v>
      </c>
      <c r="J176" s="194">
        <f>'конкурсная документация'!J81</f>
        <v>34</v>
      </c>
      <c r="K176" s="194">
        <f>'конкурсная документация'!K81</f>
        <v>34</v>
      </c>
      <c r="L176" s="194">
        <f>'конкурсная документация'!L81</f>
        <v>34</v>
      </c>
      <c r="M176" s="194">
        <f>'конкурсная документация'!M81</f>
        <v>34</v>
      </c>
      <c r="N176" s="194">
        <f>'конкурсная документация'!N81</f>
        <v>34</v>
      </c>
      <c r="O176" s="194">
        <f>'конкурсная документация'!O81</f>
        <v>34</v>
      </c>
      <c r="P176" s="194">
        <f>'конкурсная документация'!P81</f>
        <v>34</v>
      </c>
      <c r="Q176" s="194">
        <f>'конкурсная документация'!Q81</f>
        <v>34</v>
      </c>
      <c r="R176" s="194">
        <f>'конкурсная документация'!R81</f>
        <v>34</v>
      </c>
      <c r="S176" s="194">
        <f>'конкурсная документация'!S81</f>
        <v>34</v>
      </c>
      <c r="T176" s="194">
        <f>'конкурсная документация'!T81</f>
        <v>34</v>
      </c>
      <c r="U176" s="194">
        <f>'конкурсная документация'!U81</f>
        <v>34</v>
      </c>
      <c r="V176" s="194">
        <f>'конкурсная документация'!V81</f>
        <v>34</v>
      </c>
      <c r="W176" s="194">
        <f>'конкурсная документация'!W81</f>
        <v>34</v>
      </c>
      <c r="X176" s="194">
        <f>'конкурсная документация'!X81</f>
        <v>34</v>
      </c>
      <c r="Y176" s="194">
        <f>'конкурсная документация'!Y81</f>
        <v>34</v>
      </c>
      <c r="Z176" s="194">
        <f>'конкурсная документация'!Z81</f>
        <v>34</v>
      </c>
      <c r="AA176" s="194">
        <f>'конкурсная документация'!AA81</f>
        <v>34</v>
      </c>
      <c r="AB176" s="194">
        <f>'конкурсная документация'!AB81</f>
        <v>34</v>
      </c>
      <c r="AC176" s="194">
        <f>'конкурсная документация'!AC81</f>
        <v>34</v>
      </c>
      <c r="AD176" s="194">
        <f>'конкурсная документация'!AD81</f>
        <v>34</v>
      </c>
      <c r="AE176" s="194">
        <f>'конкурсная документация'!AE81</f>
        <v>34</v>
      </c>
      <c r="AF176" s="194">
        <f>'конкурсная документация'!AF81</f>
        <v>34</v>
      </c>
    </row>
    <row r="177" spans="1:32" s="16" customFormat="1" ht="60">
      <c r="A177" s="99" t="s">
        <v>220</v>
      </c>
      <c r="B177" s="198"/>
      <c r="C177" s="194">
        <f>'конкурсная документация'!B82</f>
        <v>30</v>
      </c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9"/>
      <c r="Y177" s="199"/>
      <c r="Z177" s="199"/>
      <c r="AA177" s="199"/>
      <c r="AB177" s="199"/>
      <c r="AC177" s="199"/>
      <c r="AD177" s="199"/>
      <c r="AE177" s="199"/>
      <c r="AF177" s="199"/>
    </row>
    <row r="178" spans="1:32" s="170" customFormat="1" ht="18" customHeight="1">
      <c r="A178" s="182" t="s">
        <v>138</v>
      </c>
      <c r="B178" s="221"/>
      <c r="C178" s="206">
        <f>'конкурсные предложения'!B44*C8</f>
        <v>93.50000000000001</v>
      </c>
      <c r="D178" s="206">
        <f>'конкурсные предложения'!C44*D8</f>
        <v>1121.0772672000003</v>
      </c>
      <c r="E178" s="206">
        <f>'конкурсные предложения'!D44*E8</f>
        <v>1187.0617500000005</v>
      </c>
      <c r="F178" s="206">
        <f>'конкурсные предложения'!E44*F8</f>
        <v>197.38356535951777</v>
      </c>
      <c r="G178" s="206">
        <f>'конкурсные предложения'!F44*G8</f>
        <v>150.05861257555995</v>
      </c>
      <c r="H178" s="206">
        <f>'конкурсные предложения'!G44*H8</f>
        <v>160.2353139906978</v>
      </c>
      <c r="I178" s="206">
        <f>'конкурсные предложения'!H44*I8</f>
        <v>171.20119339917898</v>
      </c>
      <c r="J178" s="206">
        <f>'конкурсные предложения'!I44*J8</f>
        <v>182.93672756460563</v>
      </c>
      <c r="K178" s="206">
        <f>'конкурсные предложения'!J44*K8</f>
        <v>195.5725150473795</v>
      </c>
      <c r="L178" s="206">
        <f>'конкурсные предложения'!K44*L8</f>
        <v>209.01316944461058</v>
      </c>
      <c r="M178" s="206">
        <f>'конкурсные предложения'!L44*M8</f>
        <v>207.74292107766541</v>
      </c>
      <c r="N178" s="206">
        <f>'конкурсные предложения'!M44*N8</f>
        <v>489.444725921036</v>
      </c>
      <c r="O178" s="206">
        <f>'конкурсные предложения'!N44*O8</f>
        <v>576.8163204786767</v>
      </c>
      <c r="P178" s="206">
        <f>'конкурсные предложения'!O44*P8</f>
        <v>920.6989951625065</v>
      </c>
      <c r="Q178" s="206">
        <f>'конкурсные предложения'!P44*Q8</f>
        <v>1006.7313818360446</v>
      </c>
      <c r="R178" s="206">
        <f>'конкурсные предложения'!Q44*R8</f>
        <v>1227.4752464005783</v>
      </c>
      <c r="S178" s="206">
        <f>'конкурсные предложения'!R44*S8</f>
        <v>1456.001984555583</v>
      </c>
      <c r="T178" s="206">
        <f>'конкурсные предложения'!S44*T8</f>
        <v>1515.9563035624801</v>
      </c>
      <c r="U178" s="206">
        <f>'конкурсные предложения'!T44*U8</f>
        <v>1590.2738707649364</v>
      </c>
      <c r="V178" s="206">
        <f>'конкурсные предложения'!U44*V8</f>
        <v>1761.6382166010549</v>
      </c>
      <c r="W178" s="206">
        <f>'конкурсные предложения'!V44*W8</f>
        <v>1834.1560247921088</v>
      </c>
      <c r="X178" s="206">
        <f>'конкурсные предложения'!W44*X8</f>
        <v>1909.9054635724276</v>
      </c>
      <c r="Y178" s="206">
        <f>'конкурсные предложения'!X44*Y8</f>
        <v>1988.7429298386437</v>
      </c>
      <c r="Z178" s="206">
        <f>'конкурсные предложения'!Y44*Z8</f>
        <v>2070.809350602274</v>
      </c>
      <c r="AA178" s="206">
        <f>'конкурсные предложения'!Z44*AA8</f>
        <v>2156.295934843826</v>
      </c>
      <c r="AB178" s="206">
        <f>'конкурсные предложения'!AA44*AB8</f>
        <v>2245.283385663173</v>
      </c>
      <c r="AC178" s="206">
        <f>'конкурсные предложения'!AB44*AC8</f>
        <v>2338.0113230327843</v>
      </c>
      <c r="AD178" s="206">
        <f>'конкурсные предложения'!AC44*AD8</f>
        <v>2515.76815648876</v>
      </c>
      <c r="AE178" s="206">
        <f>'конкурсные предложения'!AD44*AE8</f>
        <v>2619.6129905052258</v>
      </c>
      <c r="AF178" s="206">
        <f>'конкурсные предложения'!AE44*AF8</f>
        <v>2727.8274353762054</v>
      </c>
    </row>
    <row r="179" spans="1:33" s="170" customFormat="1" ht="63.75" customHeight="1">
      <c r="A179" s="182" t="s">
        <v>221</v>
      </c>
      <c r="B179" s="218"/>
      <c r="C179" s="240"/>
      <c r="D179" s="206">
        <f>C179+C178-C209</f>
        <v>93.50000000000001</v>
      </c>
      <c r="E179" s="206">
        <f aca="true" t="shared" si="90" ref="E179:L179">D179+D178-D209</f>
        <v>1211.4606005333337</v>
      </c>
      <c r="F179" s="240">
        <f t="shared" si="90"/>
        <v>2358.0364416266675</v>
      </c>
      <c r="G179" s="240">
        <f t="shared" si="90"/>
        <v>2475.3653730795186</v>
      </c>
      <c r="H179" s="240">
        <f t="shared" si="90"/>
        <v>2538.789899569761</v>
      </c>
      <c r="I179" s="240">
        <f t="shared" si="90"/>
        <v>2607.3891737226227</v>
      </c>
      <c r="J179" s="240">
        <f t="shared" si="90"/>
        <v>2681.6131501509426</v>
      </c>
      <c r="K179" s="240">
        <f t="shared" si="90"/>
        <v>2761.8659542980495</v>
      </c>
      <c r="L179" s="240">
        <f t="shared" si="90"/>
        <v>2848.65665500911</v>
      </c>
      <c r="M179" s="240">
        <f aca="true" t="shared" si="91" ref="M179:AE179">L179+L178-L209</f>
        <v>2942.368926282489</v>
      </c>
      <c r="N179" s="240">
        <f t="shared" si="91"/>
        <v>3027.8438435407697</v>
      </c>
      <c r="O179" s="240">
        <f t="shared" si="91"/>
        <v>3388.0958016064988</v>
      </c>
      <c r="P179" s="240">
        <f t="shared" si="91"/>
        <v>3819.4045300325006</v>
      </c>
      <c r="Q179" s="240">
        <f t="shared" si="91"/>
        <v>4575.36872245971</v>
      </c>
      <c r="R179" s="240">
        <f t="shared" si="91"/>
        <v>5386.67533505504</v>
      </c>
      <c r="S179" s="240">
        <f t="shared" si="91"/>
        <v>6385.168099487036</v>
      </c>
      <c r="T179" s="240">
        <f t="shared" si="91"/>
        <v>7571.27176052735</v>
      </c>
      <c r="U179" s="240">
        <f t="shared" si="91"/>
        <v>8768.796341089375</v>
      </c>
      <c r="V179" s="240">
        <f t="shared" si="91"/>
        <v>9990.10661206844</v>
      </c>
      <c r="W179" s="240">
        <f t="shared" si="91"/>
        <v>11329.772099858128</v>
      </c>
      <c r="X179" s="240">
        <f t="shared" si="91"/>
        <v>12683.234121952166</v>
      </c>
      <c r="Y179" s="240">
        <f t="shared" si="91"/>
        <v>14051.307048666786</v>
      </c>
      <c r="Z179" s="240">
        <f t="shared" si="91"/>
        <v>15434.553926195207</v>
      </c>
      <c r="AA179" s="240">
        <f t="shared" si="91"/>
        <v>16833.575793492637</v>
      </c>
      <c r="AB179" s="240">
        <f t="shared" si="91"/>
        <v>18249.05726667821</v>
      </c>
      <c r="AC179" s="240">
        <f t="shared" si="91"/>
        <v>19681.64965952167</v>
      </c>
      <c r="AD179" s="240">
        <f t="shared" si="91"/>
        <v>21132.127210212635</v>
      </c>
      <c r="AE179" s="240">
        <f t="shared" si="91"/>
        <v>22682.427883591816</v>
      </c>
      <c r="AF179" s="240">
        <f>AE179+AE178-AE209</f>
        <v>24252.71445243784</v>
      </c>
      <c r="AG179" s="164">
        <f>AF179+AF178-AF209</f>
        <v>25843.895033138</v>
      </c>
    </row>
    <row r="180" spans="1:32" s="16" customFormat="1" ht="15">
      <c r="A180" s="247" t="s">
        <v>139</v>
      </c>
      <c r="B180" s="198"/>
      <c r="C180" s="198"/>
      <c r="D180" s="198">
        <f aca="true" t="shared" si="92" ref="D180:AF180">IF($C$178/$C$177*(D$5-$C$5)&gt;$C$178,0,$C$178/$C$177)</f>
        <v>3.116666666666667</v>
      </c>
      <c r="E180" s="198">
        <f t="shared" si="92"/>
        <v>3.116666666666667</v>
      </c>
      <c r="F180" s="198">
        <f t="shared" si="92"/>
        <v>3.116666666666667</v>
      </c>
      <c r="G180" s="198">
        <f t="shared" si="92"/>
        <v>3.116666666666667</v>
      </c>
      <c r="H180" s="198">
        <f t="shared" si="92"/>
        <v>3.116666666666667</v>
      </c>
      <c r="I180" s="198">
        <f t="shared" si="92"/>
        <v>3.116666666666667</v>
      </c>
      <c r="J180" s="198">
        <f t="shared" si="92"/>
        <v>3.116666666666667</v>
      </c>
      <c r="K180" s="198">
        <f t="shared" si="92"/>
        <v>3.116666666666667</v>
      </c>
      <c r="L180" s="198">
        <f t="shared" si="92"/>
        <v>3.116666666666667</v>
      </c>
      <c r="M180" s="198">
        <f t="shared" si="92"/>
        <v>3.116666666666667</v>
      </c>
      <c r="N180" s="198">
        <f t="shared" si="92"/>
        <v>3.116666666666667</v>
      </c>
      <c r="O180" s="198">
        <f t="shared" si="92"/>
        <v>3.116666666666667</v>
      </c>
      <c r="P180" s="198">
        <f t="shared" si="92"/>
        <v>3.116666666666667</v>
      </c>
      <c r="Q180" s="198">
        <f t="shared" si="92"/>
        <v>3.116666666666667</v>
      </c>
      <c r="R180" s="198">
        <f t="shared" si="92"/>
        <v>3.116666666666667</v>
      </c>
      <c r="S180" s="198">
        <f t="shared" si="92"/>
        <v>3.116666666666667</v>
      </c>
      <c r="T180" s="198">
        <f t="shared" si="92"/>
        <v>3.116666666666667</v>
      </c>
      <c r="U180" s="198">
        <f t="shared" si="92"/>
        <v>3.116666666666667</v>
      </c>
      <c r="V180" s="198">
        <f t="shared" si="92"/>
        <v>3.116666666666667</v>
      </c>
      <c r="W180" s="198">
        <f t="shared" si="92"/>
        <v>3.116666666666667</v>
      </c>
      <c r="X180" s="198">
        <f t="shared" si="92"/>
        <v>3.116666666666667</v>
      </c>
      <c r="Y180" s="198">
        <f t="shared" si="92"/>
        <v>3.116666666666667</v>
      </c>
      <c r="Z180" s="198">
        <f t="shared" si="92"/>
        <v>3.116666666666667</v>
      </c>
      <c r="AA180" s="198">
        <f t="shared" si="92"/>
        <v>3.116666666666667</v>
      </c>
      <c r="AB180" s="198">
        <f t="shared" si="92"/>
        <v>3.116666666666667</v>
      </c>
      <c r="AC180" s="198">
        <f t="shared" si="92"/>
        <v>3.116666666666667</v>
      </c>
      <c r="AD180" s="198">
        <f t="shared" si="92"/>
        <v>3.116666666666667</v>
      </c>
      <c r="AE180" s="198">
        <f t="shared" si="92"/>
        <v>3.116666666666667</v>
      </c>
      <c r="AF180" s="198">
        <f t="shared" si="92"/>
        <v>3.116666666666667</v>
      </c>
    </row>
    <row r="181" spans="1:32" s="16" customFormat="1" ht="15">
      <c r="A181" s="247" t="s">
        <v>140</v>
      </c>
      <c r="B181" s="198"/>
      <c r="C181" s="198"/>
      <c r="D181" s="199"/>
      <c r="E181" s="198">
        <f aca="true" t="shared" si="93" ref="E181:AF181">IF($D$178/$C$177*(E$5-$D$5)&gt;$D$178,0,$D$178/$C$177)</f>
        <v>37.36924224000001</v>
      </c>
      <c r="F181" s="198">
        <f t="shared" si="93"/>
        <v>37.36924224000001</v>
      </c>
      <c r="G181" s="198">
        <f t="shared" si="93"/>
        <v>37.36924224000001</v>
      </c>
      <c r="H181" s="198">
        <f t="shared" si="93"/>
        <v>37.36924224000001</v>
      </c>
      <c r="I181" s="198">
        <f t="shared" si="93"/>
        <v>37.36924224000001</v>
      </c>
      <c r="J181" s="198">
        <f t="shared" si="93"/>
        <v>37.36924224000001</v>
      </c>
      <c r="K181" s="198">
        <f t="shared" si="93"/>
        <v>37.36924224000001</v>
      </c>
      <c r="L181" s="198">
        <f t="shared" si="93"/>
        <v>37.36924224000001</v>
      </c>
      <c r="M181" s="198">
        <f t="shared" si="93"/>
        <v>37.36924224000001</v>
      </c>
      <c r="N181" s="198">
        <f t="shared" si="93"/>
        <v>37.36924224000001</v>
      </c>
      <c r="O181" s="198">
        <f t="shared" si="93"/>
        <v>37.36924224000001</v>
      </c>
      <c r="P181" s="198">
        <f t="shared" si="93"/>
        <v>37.36924224000001</v>
      </c>
      <c r="Q181" s="198">
        <f t="shared" si="93"/>
        <v>37.36924224000001</v>
      </c>
      <c r="R181" s="198">
        <f t="shared" si="93"/>
        <v>37.36924224000001</v>
      </c>
      <c r="S181" s="198">
        <f t="shared" si="93"/>
        <v>37.36924224000001</v>
      </c>
      <c r="T181" s="198">
        <f t="shared" si="93"/>
        <v>37.36924224000001</v>
      </c>
      <c r="U181" s="198">
        <f t="shared" si="93"/>
        <v>37.36924224000001</v>
      </c>
      <c r="V181" s="198">
        <f t="shared" si="93"/>
        <v>37.36924224000001</v>
      </c>
      <c r="W181" s="198">
        <f t="shared" si="93"/>
        <v>37.36924224000001</v>
      </c>
      <c r="X181" s="198">
        <f t="shared" si="93"/>
        <v>37.36924224000001</v>
      </c>
      <c r="Y181" s="198">
        <f t="shared" si="93"/>
        <v>37.36924224000001</v>
      </c>
      <c r="Z181" s="198">
        <f t="shared" si="93"/>
        <v>37.36924224000001</v>
      </c>
      <c r="AA181" s="198">
        <f t="shared" si="93"/>
        <v>37.36924224000001</v>
      </c>
      <c r="AB181" s="198">
        <f t="shared" si="93"/>
        <v>37.36924224000001</v>
      </c>
      <c r="AC181" s="198">
        <f t="shared" si="93"/>
        <v>37.36924224000001</v>
      </c>
      <c r="AD181" s="198">
        <f t="shared" si="93"/>
        <v>37.36924224000001</v>
      </c>
      <c r="AE181" s="198">
        <f t="shared" si="93"/>
        <v>37.36924224000001</v>
      </c>
      <c r="AF181" s="198">
        <f t="shared" si="93"/>
        <v>37.36924224000001</v>
      </c>
    </row>
    <row r="182" spans="1:32" s="16" customFormat="1" ht="15">
      <c r="A182" s="247" t="s">
        <v>141</v>
      </c>
      <c r="B182" s="198"/>
      <c r="C182" s="198"/>
      <c r="D182" s="198"/>
      <c r="E182" s="198"/>
      <c r="F182" s="198">
        <f aca="true" t="shared" si="94" ref="F182:AF182">IF($E$178/$C$177*(F$5-$E$5)&gt;$E$178,0,$E$178/$C$177)</f>
        <v>39.568725000000015</v>
      </c>
      <c r="G182" s="198">
        <f t="shared" si="94"/>
        <v>39.568725000000015</v>
      </c>
      <c r="H182" s="198">
        <f t="shared" si="94"/>
        <v>39.568725000000015</v>
      </c>
      <c r="I182" s="198">
        <f t="shared" si="94"/>
        <v>39.568725000000015</v>
      </c>
      <c r="J182" s="198">
        <f t="shared" si="94"/>
        <v>39.568725000000015</v>
      </c>
      <c r="K182" s="198">
        <f t="shared" si="94"/>
        <v>39.568725000000015</v>
      </c>
      <c r="L182" s="198">
        <f t="shared" si="94"/>
        <v>39.568725000000015</v>
      </c>
      <c r="M182" s="198">
        <f t="shared" si="94"/>
        <v>39.568725000000015</v>
      </c>
      <c r="N182" s="198">
        <f t="shared" si="94"/>
        <v>39.568725000000015</v>
      </c>
      <c r="O182" s="198">
        <f t="shared" si="94"/>
        <v>39.568725000000015</v>
      </c>
      <c r="P182" s="198">
        <f t="shared" si="94"/>
        <v>39.568725000000015</v>
      </c>
      <c r="Q182" s="198">
        <f t="shared" si="94"/>
        <v>39.568725000000015</v>
      </c>
      <c r="R182" s="198">
        <f t="shared" si="94"/>
        <v>39.568725000000015</v>
      </c>
      <c r="S182" s="198">
        <f t="shared" si="94"/>
        <v>39.568725000000015</v>
      </c>
      <c r="T182" s="198">
        <f t="shared" si="94"/>
        <v>39.568725000000015</v>
      </c>
      <c r="U182" s="198">
        <f t="shared" si="94"/>
        <v>39.568725000000015</v>
      </c>
      <c r="V182" s="198">
        <f t="shared" si="94"/>
        <v>39.568725000000015</v>
      </c>
      <c r="W182" s="198">
        <f t="shared" si="94"/>
        <v>39.568725000000015</v>
      </c>
      <c r="X182" s="198">
        <f t="shared" si="94"/>
        <v>39.568725000000015</v>
      </c>
      <c r="Y182" s="198">
        <f t="shared" si="94"/>
        <v>39.568725000000015</v>
      </c>
      <c r="Z182" s="198">
        <f t="shared" si="94"/>
        <v>39.568725000000015</v>
      </c>
      <c r="AA182" s="198">
        <f t="shared" si="94"/>
        <v>39.568725000000015</v>
      </c>
      <c r="AB182" s="198">
        <f t="shared" si="94"/>
        <v>39.568725000000015</v>
      </c>
      <c r="AC182" s="198">
        <f t="shared" si="94"/>
        <v>39.568725000000015</v>
      </c>
      <c r="AD182" s="198">
        <f t="shared" si="94"/>
        <v>39.568725000000015</v>
      </c>
      <c r="AE182" s="198">
        <f t="shared" si="94"/>
        <v>39.568725000000015</v>
      </c>
      <c r="AF182" s="198">
        <f t="shared" si="94"/>
        <v>39.568725000000015</v>
      </c>
    </row>
    <row r="183" spans="1:32" s="16" customFormat="1" ht="15">
      <c r="A183" s="247" t="s">
        <v>142</v>
      </c>
      <c r="B183" s="198"/>
      <c r="C183" s="198"/>
      <c r="D183" s="198"/>
      <c r="E183" s="198"/>
      <c r="F183" s="198"/>
      <c r="G183" s="198">
        <f aca="true" t="shared" si="95" ref="G183:AF183">IF($F$178/$C$177*(G$5-$F$5)&gt;$F$178,0,$F$178/$C$177)</f>
        <v>6.579452178650593</v>
      </c>
      <c r="H183" s="198">
        <f t="shared" si="95"/>
        <v>6.579452178650593</v>
      </c>
      <c r="I183" s="198">
        <f t="shared" si="95"/>
        <v>6.579452178650593</v>
      </c>
      <c r="J183" s="198">
        <f t="shared" si="95"/>
        <v>6.579452178650593</v>
      </c>
      <c r="K183" s="198">
        <f t="shared" si="95"/>
        <v>6.579452178650593</v>
      </c>
      <c r="L183" s="198">
        <f t="shared" si="95"/>
        <v>6.579452178650593</v>
      </c>
      <c r="M183" s="198">
        <f t="shared" si="95"/>
        <v>6.579452178650593</v>
      </c>
      <c r="N183" s="198">
        <f t="shared" si="95"/>
        <v>6.579452178650593</v>
      </c>
      <c r="O183" s="198">
        <f t="shared" si="95"/>
        <v>6.579452178650593</v>
      </c>
      <c r="P183" s="198">
        <f t="shared" si="95"/>
        <v>6.579452178650593</v>
      </c>
      <c r="Q183" s="198">
        <f t="shared" si="95"/>
        <v>6.579452178650593</v>
      </c>
      <c r="R183" s="198">
        <f t="shared" si="95"/>
        <v>6.579452178650593</v>
      </c>
      <c r="S183" s="198">
        <f t="shared" si="95"/>
        <v>6.579452178650593</v>
      </c>
      <c r="T183" s="198">
        <f t="shared" si="95"/>
        <v>6.579452178650593</v>
      </c>
      <c r="U183" s="198">
        <f t="shared" si="95"/>
        <v>6.579452178650593</v>
      </c>
      <c r="V183" s="198">
        <f t="shared" si="95"/>
        <v>6.579452178650593</v>
      </c>
      <c r="W183" s="198">
        <f t="shared" si="95"/>
        <v>6.579452178650593</v>
      </c>
      <c r="X183" s="198">
        <f t="shared" si="95"/>
        <v>6.579452178650593</v>
      </c>
      <c r="Y183" s="198">
        <f t="shared" si="95"/>
        <v>6.579452178650593</v>
      </c>
      <c r="Z183" s="198">
        <f t="shared" si="95"/>
        <v>6.579452178650593</v>
      </c>
      <c r="AA183" s="198">
        <f t="shared" si="95"/>
        <v>6.579452178650593</v>
      </c>
      <c r="AB183" s="198">
        <f t="shared" si="95"/>
        <v>6.579452178650593</v>
      </c>
      <c r="AC183" s="198">
        <f t="shared" si="95"/>
        <v>6.579452178650593</v>
      </c>
      <c r="AD183" s="198">
        <f t="shared" si="95"/>
        <v>6.579452178650593</v>
      </c>
      <c r="AE183" s="198">
        <f t="shared" si="95"/>
        <v>6.579452178650593</v>
      </c>
      <c r="AF183" s="198">
        <f t="shared" si="95"/>
        <v>6.579452178650593</v>
      </c>
    </row>
    <row r="184" spans="1:32" s="16" customFormat="1" ht="15">
      <c r="A184" s="247" t="s">
        <v>143</v>
      </c>
      <c r="B184" s="198"/>
      <c r="C184" s="198"/>
      <c r="D184" s="198"/>
      <c r="E184" s="198"/>
      <c r="F184" s="198"/>
      <c r="G184" s="198"/>
      <c r="H184" s="198">
        <f aca="true" t="shared" si="96" ref="H184:AF184">IF($G$178/$C$177*(H$5-$G$5)&gt;$G$178,0,$G$178/$C$177)</f>
        <v>5.001953752518665</v>
      </c>
      <c r="I184" s="198">
        <f t="shared" si="96"/>
        <v>5.001953752518665</v>
      </c>
      <c r="J184" s="198">
        <f t="shared" si="96"/>
        <v>5.001953752518665</v>
      </c>
      <c r="K184" s="198">
        <f t="shared" si="96"/>
        <v>5.001953752518665</v>
      </c>
      <c r="L184" s="198">
        <f t="shared" si="96"/>
        <v>5.001953752518665</v>
      </c>
      <c r="M184" s="198">
        <f t="shared" si="96"/>
        <v>5.001953752518665</v>
      </c>
      <c r="N184" s="198">
        <f t="shared" si="96"/>
        <v>5.001953752518665</v>
      </c>
      <c r="O184" s="198">
        <f t="shared" si="96"/>
        <v>5.001953752518665</v>
      </c>
      <c r="P184" s="198">
        <f t="shared" si="96"/>
        <v>5.001953752518665</v>
      </c>
      <c r="Q184" s="198">
        <f t="shared" si="96"/>
        <v>5.001953752518665</v>
      </c>
      <c r="R184" s="198">
        <f t="shared" si="96"/>
        <v>5.001953752518665</v>
      </c>
      <c r="S184" s="198">
        <f t="shared" si="96"/>
        <v>5.001953752518665</v>
      </c>
      <c r="T184" s="198">
        <f t="shared" si="96"/>
        <v>5.001953752518665</v>
      </c>
      <c r="U184" s="198">
        <f t="shared" si="96"/>
        <v>5.001953752518665</v>
      </c>
      <c r="V184" s="198">
        <f t="shared" si="96"/>
        <v>5.001953752518665</v>
      </c>
      <c r="W184" s="198">
        <f t="shared" si="96"/>
        <v>5.001953752518665</v>
      </c>
      <c r="X184" s="198">
        <f t="shared" si="96"/>
        <v>5.001953752518665</v>
      </c>
      <c r="Y184" s="198">
        <f t="shared" si="96"/>
        <v>5.001953752518665</v>
      </c>
      <c r="Z184" s="198">
        <f t="shared" si="96"/>
        <v>5.001953752518665</v>
      </c>
      <c r="AA184" s="198">
        <f t="shared" si="96"/>
        <v>5.001953752518665</v>
      </c>
      <c r="AB184" s="198">
        <f t="shared" si="96"/>
        <v>5.001953752518665</v>
      </c>
      <c r="AC184" s="198">
        <f t="shared" si="96"/>
        <v>5.001953752518665</v>
      </c>
      <c r="AD184" s="198">
        <f t="shared" si="96"/>
        <v>5.001953752518665</v>
      </c>
      <c r="AE184" s="198">
        <f t="shared" si="96"/>
        <v>5.001953752518665</v>
      </c>
      <c r="AF184" s="198">
        <f t="shared" si="96"/>
        <v>5.001953752518665</v>
      </c>
    </row>
    <row r="185" spans="1:32" s="16" customFormat="1" ht="15">
      <c r="A185" s="247" t="s">
        <v>144</v>
      </c>
      <c r="B185" s="198"/>
      <c r="C185" s="198"/>
      <c r="D185" s="198"/>
      <c r="E185" s="198"/>
      <c r="F185" s="198"/>
      <c r="G185" s="198"/>
      <c r="H185" s="198"/>
      <c r="I185" s="198">
        <f aca="true" t="shared" si="97" ref="I185:AF185">IF($H$178/$C$177*(I$5-$H$5)&gt;$H$178,0,$H$178/$C$177)</f>
        <v>5.34117713302326</v>
      </c>
      <c r="J185" s="198">
        <f t="shared" si="97"/>
        <v>5.34117713302326</v>
      </c>
      <c r="K185" s="198">
        <f t="shared" si="97"/>
        <v>5.34117713302326</v>
      </c>
      <c r="L185" s="198">
        <f t="shared" si="97"/>
        <v>5.34117713302326</v>
      </c>
      <c r="M185" s="198">
        <f t="shared" si="97"/>
        <v>5.34117713302326</v>
      </c>
      <c r="N185" s="198">
        <f t="shared" si="97"/>
        <v>5.34117713302326</v>
      </c>
      <c r="O185" s="198">
        <f t="shared" si="97"/>
        <v>5.34117713302326</v>
      </c>
      <c r="P185" s="198">
        <f t="shared" si="97"/>
        <v>5.34117713302326</v>
      </c>
      <c r="Q185" s="198">
        <f t="shared" si="97"/>
        <v>5.34117713302326</v>
      </c>
      <c r="R185" s="198">
        <f t="shared" si="97"/>
        <v>5.34117713302326</v>
      </c>
      <c r="S185" s="198">
        <f t="shared" si="97"/>
        <v>5.34117713302326</v>
      </c>
      <c r="T185" s="198">
        <f t="shared" si="97"/>
        <v>5.34117713302326</v>
      </c>
      <c r="U185" s="198">
        <f t="shared" si="97"/>
        <v>5.34117713302326</v>
      </c>
      <c r="V185" s="198">
        <f t="shared" si="97"/>
        <v>5.34117713302326</v>
      </c>
      <c r="W185" s="198">
        <f t="shared" si="97"/>
        <v>5.34117713302326</v>
      </c>
      <c r="X185" s="198">
        <f t="shared" si="97"/>
        <v>5.34117713302326</v>
      </c>
      <c r="Y185" s="198">
        <f t="shared" si="97"/>
        <v>5.34117713302326</v>
      </c>
      <c r="Z185" s="198">
        <f t="shared" si="97"/>
        <v>5.34117713302326</v>
      </c>
      <c r="AA185" s="198">
        <f t="shared" si="97"/>
        <v>5.34117713302326</v>
      </c>
      <c r="AB185" s="198">
        <f t="shared" si="97"/>
        <v>5.34117713302326</v>
      </c>
      <c r="AC185" s="198">
        <f t="shared" si="97"/>
        <v>5.34117713302326</v>
      </c>
      <c r="AD185" s="198">
        <f t="shared" si="97"/>
        <v>5.34117713302326</v>
      </c>
      <c r="AE185" s="198">
        <f t="shared" si="97"/>
        <v>5.34117713302326</v>
      </c>
      <c r="AF185" s="198">
        <f t="shared" si="97"/>
        <v>5.34117713302326</v>
      </c>
    </row>
    <row r="186" spans="1:32" s="16" customFormat="1" ht="15">
      <c r="A186" s="247" t="s">
        <v>145</v>
      </c>
      <c r="B186" s="198"/>
      <c r="C186" s="198"/>
      <c r="D186" s="198"/>
      <c r="E186" s="198"/>
      <c r="F186" s="198"/>
      <c r="G186" s="198"/>
      <c r="H186" s="198"/>
      <c r="I186" s="198"/>
      <c r="J186" s="198">
        <f aca="true" t="shared" si="98" ref="J186:AF186">IF($I$178/$C$177*(J$5-$I$5)&gt;$I$178,0,$I$178/$C$177)</f>
        <v>5.706706446639299</v>
      </c>
      <c r="K186" s="198">
        <f t="shared" si="98"/>
        <v>5.706706446639299</v>
      </c>
      <c r="L186" s="198">
        <f t="shared" si="98"/>
        <v>5.706706446639299</v>
      </c>
      <c r="M186" s="198">
        <f t="shared" si="98"/>
        <v>5.706706446639299</v>
      </c>
      <c r="N186" s="198">
        <f t="shared" si="98"/>
        <v>5.706706446639299</v>
      </c>
      <c r="O186" s="198">
        <f t="shared" si="98"/>
        <v>5.706706446639299</v>
      </c>
      <c r="P186" s="198">
        <f t="shared" si="98"/>
        <v>5.706706446639299</v>
      </c>
      <c r="Q186" s="198">
        <f t="shared" si="98"/>
        <v>5.706706446639299</v>
      </c>
      <c r="R186" s="198">
        <f t="shared" si="98"/>
        <v>5.706706446639299</v>
      </c>
      <c r="S186" s="198">
        <f t="shared" si="98"/>
        <v>5.706706446639299</v>
      </c>
      <c r="T186" s="198">
        <f t="shared" si="98"/>
        <v>5.706706446639299</v>
      </c>
      <c r="U186" s="198">
        <f t="shared" si="98"/>
        <v>5.706706446639299</v>
      </c>
      <c r="V186" s="198">
        <f t="shared" si="98"/>
        <v>5.706706446639299</v>
      </c>
      <c r="W186" s="198">
        <f t="shared" si="98"/>
        <v>5.706706446639299</v>
      </c>
      <c r="X186" s="198">
        <f t="shared" si="98"/>
        <v>5.706706446639299</v>
      </c>
      <c r="Y186" s="198">
        <f t="shared" si="98"/>
        <v>5.706706446639299</v>
      </c>
      <c r="Z186" s="198">
        <f t="shared" si="98"/>
        <v>5.706706446639299</v>
      </c>
      <c r="AA186" s="198">
        <f t="shared" si="98"/>
        <v>5.706706446639299</v>
      </c>
      <c r="AB186" s="198">
        <f t="shared" si="98"/>
        <v>5.706706446639299</v>
      </c>
      <c r="AC186" s="198">
        <f t="shared" si="98"/>
        <v>5.706706446639299</v>
      </c>
      <c r="AD186" s="198">
        <f t="shared" si="98"/>
        <v>5.706706446639299</v>
      </c>
      <c r="AE186" s="198">
        <f t="shared" si="98"/>
        <v>5.706706446639299</v>
      </c>
      <c r="AF186" s="198">
        <f t="shared" si="98"/>
        <v>5.706706446639299</v>
      </c>
    </row>
    <row r="187" spans="1:32" s="16" customFormat="1" ht="15">
      <c r="A187" s="247" t="s">
        <v>146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>
        <f aca="true" t="shared" si="99" ref="K187:AF187">IF($J$178/$C$177*(K$5-$J$5)&gt;$J$178,0,$J$178/$C$177)</f>
        <v>6.0978909188201875</v>
      </c>
      <c r="L187" s="198">
        <f t="shared" si="99"/>
        <v>6.0978909188201875</v>
      </c>
      <c r="M187" s="198">
        <f t="shared" si="99"/>
        <v>6.0978909188201875</v>
      </c>
      <c r="N187" s="198">
        <f t="shared" si="99"/>
        <v>6.0978909188201875</v>
      </c>
      <c r="O187" s="198">
        <f t="shared" si="99"/>
        <v>6.0978909188201875</v>
      </c>
      <c r="P187" s="198">
        <f t="shared" si="99"/>
        <v>6.0978909188201875</v>
      </c>
      <c r="Q187" s="198">
        <f t="shared" si="99"/>
        <v>6.0978909188201875</v>
      </c>
      <c r="R187" s="198">
        <f t="shared" si="99"/>
        <v>6.0978909188201875</v>
      </c>
      <c r="S187" s="198">
        <f t="shared" si="99"/>
        <v>6.0978909188201875</v>
      </c>
      <c r="T187" s="198">
        <f t="shared" si="99"/>
        <v>6.0978909188201875</v>
      </c>
      <c r="U187" s="198">
        <f t="shared" si="99"/>
        <v>6.0978909188201875</v>
      </c>
      <c r="V187" s="198">
        <f t="shared" si="99"/>
        <v>6.0978909188201875</v>
      </c>
      <c r="W187" s="198">
        <f t="shared" si="99"/>
        <v>6.0978909188201875</v>
      </c>
      <c r="X187" s="198">
        <f t="shared" si="99"/>
        <v>6.0978909188201875</v>
      </c>
      <c r="Y187" s="198">
        <f t="shared" si="99"/>
        <v>6.0978909188201875</v>
      </c>
      <c r="Z187" s="198">
        <f t="shared" si="99"/>
        <v>6.0978909188201875</v>
      </c>
      <c r="AA187" s="198">
        <f t="shared" si="99"/>
        <v>6.0978909188201875</v>
      </c>
      <c r="AB187" s="198">
        <f t="shared" si="99"/>
        <v>6.0978909188201875</v>
      </c>
      <c r="AC187" s="198">
        <f t="shared" si="99"/>
        <v>6.0978909188201875</v>
      </c>
      <c r="AD187" s="198">
        <f t="shared" si="99"/>
        <v>6.0978909188201875</v>
      </c>
      <c r="AE187" s="198">
        <f t="shared" si="99"/>
        <v>6.0978909188201875</v>
      </c>
      <c r="AF187" s="198">
        <f t="shared" si="99"/>
        <v>6.0978909188201875</v>
      </c>
    </row>
    <row r="188" spans="1:32" s="16" customFormat="1" ht="15">
      <c r="A188" s="247" t="s">
        <v>147</v>
      </c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>
        <f aca="true" t="shared" si="100" ref="L188:AF188">IF($K$178/$C$177*(L$5-$K$5)&gt;$K$178,0,$K$178/$C$177)</f>
        <v>6.51908383491265</v>
      </c>
      <c r="M188" s="198">
        <f t="shared" si="100"/>
        <v>6.51908383491265</v>
      </c>
      <c r="N188" s="198">
        <f t="shared" si="100"/>
        <v>6.51908383491265</v>
      </c>
      <c r="O188" s="198">
        <f t="shared" si="100"/>
        <v>6.51908383491265</v>
      </c>
      <c r="P188" s="198">
        <f t="shared" si="100"/>
        <v>6.51908383491265</v>
      </c>
      <c r="Q188" s="198">
        <f t="shared" si="100"/>
        <v>6.51908383491265</v>
      </c>
      <c r="R188" s="198">
        <f t="shared" si="100"/>
        <v>6.51908383491265</v>
      </c>
      <c r="S188" s="198">
        <f t="shared" si="100"/>
        <v>6.51908383491265</v>
      </c>
      <c r="T188" s="198">
        <f t="shared" si="100"/>
        <v>6.51908383491265</v>
      </c>
      <c r="U188" s="198">
        <f t="shared" si="100"/>
        <v>6.51908383491265</v>
      </c>
      <c r="V188" s="198">
        <f t="shared" si="100"/>
        <v>6.51908383491265</v>
      </c>
      <c r="W188" s="198">
        <f t="shared" si="100"/>
        <v>6.51908383491265</v>
      </c>
      <c r="X188" s="198">
        <f t="shared" si="100"/>
        <v>6.51908383491265</v>
      </c>
      <c r="Y188" s="198">
        <f t="shared" si="100"/>
        <v>6.51908383491265</v>
      </c>
      <c r="Z188" s="198">
        <f t="shared" si="100"/>
        <v>6.51908383491265</v>
      </c>
      <c r="AA188" s="198">
        <f t="shared" si="100"/>
        <v>6.51908383491265</v>
      </c>
      <c r="AB188" s="198">
        <f t="shared" si="100"/>
        <v>6.51908383491265</v>
      </c>
      <c r="AC188" s="198">
        <f t="shared" si="100"/>
        <v>6.51908383491265</v>
      </c>
      <c r="AD188" s="198">
        <f t="shared" si="100"/>
        <v>6.51908383491265</v>
      </c>
      <c r="AE188" s="198">
        <f t="shared" si="100"/>
        <v>6.51908383491265</v>
      </c>
      <c r="AF188" s="198">
        <f t="shared" si="100"/>
        <v>6.51908383491265</v>
      </c>
    </row>
    <row r="189" spans="1:32" s="16" customFormat="1" ht="14.25" customHeight="1">
      <c r="A189" s="247" t="s">
        <v>148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>
        <f aca="true" t="shared" si="101" ref="M189:AF189">IF($L$178/$C$177*(M$5-$L$5)&gt;$L$178,0,$L$178/$C$177)</f>
        <v>6.967105648153686</v>
      </c>
      <c r="N189" s="198">
        <f t="shared" si="101"/>
        <v>6.967105648153686</v>
      </c>
      <c r="O189" s="198">
        <f t="shared" si="101"/>
        <v>6.967105648153686</v>
      </c>
      <c r="P189" s="198">
        <f t="shared" si="101"/>
        <v>6.967105648153686</v>
      </c>
      <c r="Q189" s="198">
        <f t="shared" si="101"/>
        <v>6.967105648153686</v>
      </c>
      <c r="R189" s="198">
        <f t="shared" si="101"/>
        <v>6.967105648153686</v>
      </c>
      <c r="S189" s="198">
        <f t="shared" si="101"/>
        <v>6.967105648153686</v>
      </c>
      <c r="T189" s="198">
        <f t="shared" si="101"/>
        <v>6.967105648153686</v>
      </c>
      <c r="U189" s="198">
        <f t="shared" si="101"/>
        <v>6.967105648153686</v>
      </c>
      <c r="V189" s="198">
        <f t="shared" si="101"/>
        <v>6.967105648153686</v>
      </c>
      <c r="W189" s="198">
        <f t="shared" si="101"/>
        <v>6.967105648153686</v>
      </c>
      <c r="X189" s="198">
        <f t="shared" si="101"/>
        <v>6.967105648153686</v>
      </c>
      <c r="Y189" s="198">
        <f t="shared" si="101"/>
        <v>6.967105648153686</v>
      </c>
      <c r="Z189" s="198">
        <f t="shared" si="101"/>
        <v>6.967105648153686</v>
      </c>
      <c r="AA189" s="198">
        <f t="shared" si="101"/>
        <v>6.967105648153686</v>
      </c>
      <c r="AB189" s="198">
        <f t="shared" si="101"/>
        <v>6.967105648153686</v>
      </c>
      <c r="AC189" s="198">
        <f t="shared" si="101"/>
        <v>6.967105648153686</v>
      </c>
      <c r="AD189" s="198">
        <f t="shared" si="101"/>
        <v>6.967105648153686</v>
      </c>
      <c r="AE189" s="198">
        <f t="shared" si="101"/>
        <v>6.967105648153686</v>
      </c>
      <c r="AF189" s="198">
        <f t="shared" si="101"/>
        <v>6.967105648153686</v>
      </c>
    </row>
    <row r="190" spans="1:32" s="16" customFormat="1" ht="13.5" customHeight="1">
      <c r="A190" s="247" t="s">
        <v>172</v>
      </c>
      <c r="B190" s="180"/>
      <c r="C190" s="180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>
        <f aca="true" t="shared" si="102" ref="N190:AF190">IF($M$178/$C$177*(N$5-$M$5)&gt;$M$178,0,$M$178/$C$177)</f>
        <v>6.9247640359221805</v>
      </c>
      <c r="O190" s="186">
        <f t="shared" si="102"/>
        <v>6.9247640359221805</v>
      </c>
      <c r="P190" s="186">
        <f t="shared" si="102"/>
        <v>6.9247640359221805</v>
      </c>
      <c r="Q190" s="186">
        <f t="shared" si="102"/>
        <v>6.9247640359221805</v>
      </c>
      <c r="R190" s="186">
        <f t="shared" si="102"/>
        <v>6.9247640359221805</v>
      </c>
      <c r="S190" s="186">
        <f t="shared" si="102"/>
        <v>6.9247640359221805</v>
      </c>
      <c r="T190" s="186">
        <f t="shared" si="102"/>
        <v>6.9247640359221805</v>
      </c>
      <c r="U190" s="186">
        <f t="shared" si="102"/>
        <v>6.9247640359221805</v>
      </c>
      <c r="V190" s="186">
        <f t="shared" si="102"/>
        <v>6.9247640359221805</v>
      </c>
      <c r="W190" s="186">
        <f t="shared" si="102"/>
        <v>6.9247640359221805</v>
      </c>
      <c r="X190" s="186">
        <f t="shared" si="102"/>
        <v>6.9247640359221805</v>
      </c>
      <c r="Y190" s="186">
        <f t="shared" si="102"/>
        <v>6.9247640359221805</v>
      </c>
      <c r="Z190" s="186">
        <f t="shared" si="102"/>
        <v>6.9247640359221805</v>
      </c>
      <c r="AA190" s="186">
        <f t="shared" si="102"/>
        <v>6.9247640359221805</v>
      </c>
      <c r="AB190" s="186">
        <f t="shared" si="102"/>
        <v>6.9247640359221805</v>
      </c>
      <c r="AC190" s="186">
        <f t="shared" si="102"/>
        <v>6.9247640359221805</v>
      </c>
      <c r="AD190" s="186">
        <f t="shared" si="102"/>
        <v>6.9247640359221805</v>
      </c>
      <c r="AE190" s="186">
        <f t="shared" si="102"/>
        <v>6.9247640359221805</v>
      </c>
      <c r="AF190" s="186">
        <f t="shared" si="102"/>
        <v>6.9247640359221805</v>
      </c>
    </row>
    <row r="191" spans="1:32" s="16" customFormat="1" ht="15" customHeight="1">
      <c r="A191" s="247" t="s">
        <v>173</v>
      </c>
      <c r="B191" s="180"/>
      <c r="C191" s="180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>
        <f aca="true" t="shared" si="103" ref="O191:AF191">IF($N$178/$C$177*(O$5-$N$5)&gt;$N$178,0,$N$178/$C$177)</f>
        <v>16.314824197367866</v>
      </c>
      <c r="P191" s="186">
        <f t="shared" si="103"/>
        <v>16.314824197367866</v>
      </c>
      <c r="Q191" s="186">
        <f t="shared" si="103"/>
        <v>16.314824197367866</v>
      </c>
      <c r="R191" s="186">
        <f t="shared" si="103"/>
        <v>16.314824197367866</v>
      </c>
      <c r="S191" s="186">
        <f t="shared" si="103"/>
        <v>16.314824197367866</v>
      </c>
      <c r="T191" s="186">
        <f t="shared" si="103"/>
        <v>16.314824197367866</v>
      </c>
      <c r="U191" s="186">
        <f t="shared" si="103"/>
        <v>16.314824197367866</v>
      </c>
      <c r="V191" s="186">
        <f t="shared" si="103"/>
        <v>16.314824197367866</v>
      </c>
      <c r="W191" s="186">
        <f t="shared" si="103"/>
        <v>16.314824197367866</v>
      </c>
      <c r="X191" s="186">
        <f t="shared" si="103"/>
        <v>16.314824197367866</v>
      </c>
      <c r="Y191" s="186">
        <f t="shared" si="103"/>
        <v>16.314824197367866</v>
      </c>
      <c r="Z191" s="186">
        <f t="shared" si="103"/>
        <v>16.314824197367866</v>
      </c>
      <c r="AA191" s="186">
        <f t="shared" si="103"/>
        <v>16.314824197367866</v>
      </c>
      <c r="AB191" s="186">
        <f t="shared" si="103"/>
        <v>16.314824197367866</v>
      </c>
      <c r="AC191" s="186">
        <f t="shared" si="103"/>
        <v>16.314824197367866</v>
      </c>
      <c r="AD191" s="186">
        <f t="shared" si="103"/>
        <v>16.314824197367866</v>
      </c>
      <c r="AE191" s="186">
        <f t="shared" si="103"/>
        <v>16.314824197367866</v>
      </c>
      <c r="AF191" s="186">
        <f t="shared" si="103"/>
        <v>16.314824197367866</v>
      </c>
    </row>
    <row r="192" spans="1:32" s="16" customFormat="1" ht="15" customHeight="1">
      <c r="A192" s="247" t="s">
        <v>174</v>
      </c>
      <c r="B192" s="180"/>
      <c r="C192" s="180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>
        <f aca="true" t="shared" si="104" ref="P192:AF192">IF($O$178/$C$177*(P$5-$O$5)&gt;$O$178,0,$O$178/$C$177)</f>
        <v>19.22721068262256</v>
      </c>
      <c r="Q192" s="186">
        <f t="shared" si="104"/>
        <v>19.22721068262256</v>
      </c>
      <c r="R192" s="186">
        <f t="shared" si="104"/>
        <v>19.22721068262256</v>
      </c>
      <c r="S192" s="186">
        <f t="shared" si="104"/>
        <v>19.22721068262256</v>
      </c>
      <c r="T192" s="186">
        <f t="shared" si="104"/>
        <v>19.22721068262256</v>
      </c>
      <c r="U192" s="186">
        <f t="shared" si="104"/>
        <v>19.22721068262256</v>
      </c>
      <c r="V192" s="186">
        <f t="shared" si="104"/>
        <v>19.22721068262256</v>
      </c>
      <c r="W192" s="186">
        <f t="shared" si="104"/>
        <v>19.22721068262256</v>
      </c>
      <c r="X192" s="186">
        <f t="shared" si="104"/>
        <v>19.22721068262256</v>
      </c>
      <c r="Y192" s="186">
        <f t="shared" si="104"/>
        <v>19.22721068262256</v>
      </c>
      <c r="Z192" s="186">
        <f t="shared" si="104"/>
        <v>19.22721068262256</v>
      </c>
      <c r="AA192" s="186">
        <f t="shared" si="104"/>
        <v>19.22721068262256</v>
      </c>
      <c r="AB192" s="186">
        <f t="shared" si="104"/>
        <v>19.22721068262256</v>
      </c>
      <c r="AC192" s="186">
        <f t="shared" si="104"/>
        <v>19.22721068262256</v>
      </c>
      <c r="AD192" s="186">
        <f t="shared" si="104"/>
        <v>19.22721068262256</v>
      </c>
      <c r="AE192" s="186">
        <f t="shared" si="104"/>
        <v>19.22721068262256</v>
      </c>
      <c r="AF192" s="186">
        <f t="shared" si="104"/>
        <v>19.22721068262256</v>
      </c>
    </row>
    <row r="193" spans="1:32" s="16" customFormat="1" ht="15" customHeight="1">
      <c r="A193" s="247" t="s">
        <v>175</v>
      </c>
      <c r="B193" s="180"/>
      <c r="C193" s="180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>
        <f aca="true" t="shared" si="105" ref="Q193:AF193">IF($P$178/$C$177*(Q$5-$P$5)&gt;$P$178,0,$P$178/$C$177)</f>
        <v>30.689966505416884</v>
      </c>
      <c r="R193" s="186">
        <f t="shared" si="105"/>
        <v>30.689966505416884</v>
      </c>
      <c r="S193" s="186">
        <f t="shared" si="105"/>
        <v>30.689966505416884</v>
      </c>
      <c r="T193" s="186">
        <f t="shared" si="105"/>
        <v>30.689966505416884</v>
      </c>
      <c r="U193" s="186">
        <f t="shared" si="105"/>
        <v>30.689966505416884</v>
      </c>
      <c r="V193" s="186">
        <f t="shared" si="105"/>
        <v>30.689966505416884</v>
      </c>
      <c r="W193" s="186">
        <f t="shared" si="105"/>
        <v>30.689966505416884</v>
      </c>
      <c r="X193" s="186">
        <f t="shared" si="105"/>
        <v>30.689966505416884</v>
      </c>
      <c r="Y193" s="186">
        <f t="shared" si="105"/>
        <v>30.689966505416884</v>
      </c>
      <c r="Z193" s="186">
        <f t="shared" si="105"/>
        <v>30.689966505416884</v>
      </c>
      <c r="AA193" s="186">
        <f t="shared" si="105"/>
        <v>30.689966505416884</v>
      </c>
      <c r="AB193" s="186">
        <f t="shared" si="105"/>
        <v>30.689966505416884</v>
      </c>
      <c r="AC193" s="186">
        <f t="shared" si="105"/>
        <v>30.689966505416884</v>
      </c>
      <c r="AD193" s="186">
        <f t="shared" si="105"/>
        <v>30.689966505416884</v>
      </c>
      <c r="AE193" s="186">
        <f t="shared" si="105"/>
        <v>30.689966505416884</v>
      </c>
      <c r="AF193" s="186">
        <f t="shared" si="105"/>
        <v>30.689966505416884</v>
      </c>
    </row>
    <row r="194" spans="1:32" s="16" customFormat="1" ht="15" customHeight="1">
      <c r="A194" s="247" t="s">
        <v>176</v>
      </c>
      <c r="B194" s="180"/>
      <c r="C194" s="180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>
        <f aca="true" t="shared" si="106" ref="R194:AF194">IF($Q$178/$C$177*(R$5-$Q$5)&gt;$Q$178,0,$Q$178/$C$177)</f>
        <v>33.55771272786816</v>
      </c>
      <c r="S194" s="186">
        <f t="shared" si="106"/>
        <v>33.55771272786816</v>
      </c>
      <c r="T194" s="186">
        <f t="shared" si="106"/>
        <v>33.55771272786816</v>
      </c>
      <c r="U194" s="186">
        <f t="shared" si="106"/>
        <v>33.55771272786816</v>
      </c>
      <c r="V194" s="186">
        <f t="shared" si="106"/>
        <v>33.55771272786816</v>
      </c>
      <c r="W194" s="186">
        <f t="shared" si="106"/>
        <v>33.55771272786816</v>
      </c>
      <c r="X194" s="186">
        <f t="shared" si="106"/>
        <v>33.55771272786816</v>
      </c>
      <c r="Y194" s="186">
        <f t="shared" si="106"/>
        <v>33.55771272786816</v>
      </c>
      <c r="Z194" s="186">
        <f t="shared" si="106"/>
        <v>33.55771272786816</v>
      </c>
      <c r="AA194" s="186">
        <f t="shared" si="106"/>
        <v>33.55771272786816</v>
      </c>
      <c r="AB194" s="186">
        <f t="shared" si="106"/>
        <v>33.55771272786816</v>
      </c>
      <c r="AC194" s="186">
        <f t="shared" si="106"/>
        <v>33.55771272786816</v>
      </c>
      <c r="AD194" s="186">
        <f t="shared" si="106"/>
        <v>33.55771272786816</v>
      </c>
      <c r="AE194" s="186">
        <f t="shared" si="106"/>
        <v>33.55771272786816</v>
      </c>
      <c r="AF194" s="186">
        <f t="shared" si="106"/>
        <v>33.55771272786816</v>
      </c>
    </row>
    <row r="195" spans="1:32" s="16" customFormat="1" ht="15" customHeight="1">
      <c r="A195" s="247" t="s">
        <v>177</v>
      </c>
      <c r="B195" s="180"/>
      <c r="C195" s="180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>
        <f aca="true" t="shared" si="107" ref="S195:AF195">IF($R$178/$C$177*(S$5-$R$5)&gt;$R$178,0,$R$178/$C$177)</f>
        <v>40.91584154668594</v>
      </c>
      <c r="T195" s="186">
        <f t="shared" si="107"/>
        <v>40.91584154668594</v>
      </c>
      <c r="U195" s="186">
        <f t="shared" si="107"/>
        <v>40.91584154668594</v>
      </c>
      <c r="V195" s="186">
        <f t="shared" si="107"/>
        <v>40.91584154668594</v>
      </c>
      <c r="W195" s="186">
        <f t="shared" si="107"/>
        <v>40.91584154668594</v>
      </c>
      <c r="X195" s="186">
        <f t="shared" si="107"/>
        <v>40.91584154668594</v>
      </c>
      <c r="Y195" s="186">
        <f t="shared" si="107"/>
        <v>40.91584154668594</v>
      </c>
      <c r="Z195" s="186">
        <f t="shared" si="107"/>
        <v>40.91584154668594</v>
      </c>
      <c r="AA195" s="186">
        <f t="shared" si="107"/>
        <v>40.91584154668594</v>
      </c>
      <c r="AB195" s="186">
        <f t="shared" si="107"/>
        <v>40.91584154668594</v>
      </c>
      <c r="AC195" s="186">
        <f t="shared" si="107"/>
        <v>40.91584154668594</v>
      </c>
      <c r="AD195" s="186">
        <f t="shared" si="107"/>
        <v>40.91584154668594</v>
      </c>
      <c r="AE195" s="186">
        <f t="shared" si="107"/>
        <v>40.91584154668594</v>
      </c>
      <c r="AF195" s="186">
        <f t="shared" si="107"/>
        <v>40.91584154668594</v>
      </c>
    </row>
    <row r="196" spans="1:32" s="16" customFormat="1" ht="15" customHeight="1">
      <c r="A196" s="247" t="s">
        <v>178</v>
      </c>
      <c r="B196" s="180"/>
      <c r="C196" s="180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>
        <f aca="true" t="shared" si="108" ref="T196:AF196">IF($S$178/$C$177*(T$5-$S$5)&gt;$S$178,0,$S$178/$C$177)</f>
        <v>48.5333994851861</v>
      </c>
      <c r="U196" s="186">
        <f t="shared" si="108"/>
        <v>48.5333994851861</v>
      </c>
      <c r="V196" s="186">
        <f t="shared" si="108"/>
        <v>48.5333994851861</v>
      </c>
      <c r="W196" s="186">
        <f t="shared" si="108"/>
        <v>48.5333994851861</v>
      </c>
      <c r="X196" s="186">
        <f t="shared" si="108"/>
        <v>48.5333994851861</v>
      </c>
      <c r="Y196" s="186">
        <f t="shared" si="108"/>
        <v>48.5333994851861</v>
      </c>
      <c r="Z196" s="186">
        <f t="shared" si="108"/>
        <v>48.5333994851861</v>
      </c>
      <c r="AA196" s="186">
        <f t="shared" si="108"/>
        <v>48.5333994851861</v>
      </c>
      <c r="AB196" s="186">
        <f t="shared" si="108"/>
        <v>48.5333994851861</v>
      </c>
      <c r="AC196" s="186">
        <f t="shared" si="108"/>
        <v>48.5333994851861</v>
      </c>
      <c r="AD196" s="186">
        <f t="shared" si="108"/>
        <v>48.5333994851861</v>
      </c>
      <c r="AE196" s="186">
        <f t="shared" si="108"/>
        <v>48.5333994851861</v>
      </c>
      <c r="AF196" s="186">
        <f t="shared" si="108"/>
        <v>48.5333994851861</v>
      </c>
    </row>
    <row r="197" spans="1:32" s="16" customFormat="1" ht="15" customHeight="1">
      <c r="A197" s="247" t="s">
        <v>179</v>
      </c>
      <c r="B197" s="180"/>
      <c r="C197" s="180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>
        <f aca="true" t="shared" si="109" ref="U197:AF197">IF($T$178/$C$177*(U$5-$T$5)&gt;$T$178,0,$T$178/$C$177)</f>
        <v>50.531876785416</v>
      </c>
      <c r="V197" s="186">
        <f t="shared" si="109"/>
        <v>50.531876785416</v>
      </c>
      <c r="W197" s="186">
        <f t="shared" si="109"/>
        <v>50.531876785416</v>
      </c>
      <c r="X197" s="186">
        <f t="shared" si="109"/>
        <v>50.531876785416</v>
      </c>
      <c r="Y197" s="186">
        <f t="shared" si="109"/>
        <v>50.531876785416</v>
      </c>
      <c r="Z197" s="186">
        <f t="shared" si="109"/>
        <v>50.531876785416</v>
      </c>
      <c r="AA197" s="186">
        <f t="shared" si="109"/>
        <v>50.531876785416</v>
      </c>
      <c r="AB197" s="186">
        <f t="shared" si="109"/>
        <v>50.531876785416</v>
      </c>
      <c r="AC197" s="186">
        <f t="shared" si="109"/>
        <v>50.531876785416</v>
      </c>
      <c r="AD197" s="186">
        <f t="shared" si="109"/>
        <v>50.531876785416</v>
      </c>
      <c r="AE197" s="186">
        <f t="shared" si="109"/>
        <v>50.531876785416</v>
      </c>
      <c r="AF197" s="186">
        <f t="shared" si="109"/>
        <v>50.531876785416</v>
      </c>
    </row>
    <row r="198" spans="1:32" s="16" customFormat="1" ht="15" customHeight="1">
      <c r="A198" s="247" t="s">
        <v>180</v>
      </c>
      <c r="B198" s="180"/>
      <c r="C198" s="180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>
        <f aca="true" t="shared" si="110" ref="V198:AF198">IF($U$178/$C$177*(V$5-$U$5)&gt;$U$178,0,$U$178/$C$177)</f>
        <v>53.00912902549788</v>
      </c>
      <c r="W198" s="186">
        <f t="shared" si="110"/>
        <v>53.00912902549788</v>
      </c>
      <c r="X198" s="186">
        <f t="shared" si="110"/>
        <v>53.00912902549788</v>
      </c>
      <c r="Y198" s="186">
        <f t="shared" si="110"/>
        <v>53.00912902549788</v>
      </c>
      <c r="Z198" s="186">
        <f t="shared" si="110"/>
        <v>53.00912902549788</v>
      </c>
      <c r="AA198" s="186">
        <f t="shared" si="110"/>
        <v>53.00912902549788</v>
      </c>
      <c r="AB198" s="186">
        <f t="shared" si="110"/>
        <v>53.00912902549788</v>
      </c>
      <c r="AC198" s="186">
        <f t="shared" si="110"/>
        <v>53.00912902549788</v>
      </c>
      <c r="AD198" s="186">
        <f t="shared" si="110"/>
        <v>53.00912902549788</v>
      </c>
      <c r="AE198" s="186">
        <f t="shared" si="110"/>
        <v>53.00912902549788</v>
      </c>
      <c r="AF198" s="186">
        <f t="shared" si="110"/>
        <v>53.00912902549788</v>
      </c>
    </row>
    <row r="199" spans="1:32" s="16" customFormat="1" ht="15" customHeight="1">
      <c r="A199" s="247" t="s">
        <v>181</v>
      </c>
      <c r="B199" s="180"/>
      <c r="C199" s="180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>
        <f aca="true" t="shared" si="111" ref="W199:AF199">IF($V$178/$C$177*(W$5-$V$5)&gt;$V$178,0,$V$178/$C$177)</f>
        <v>58.72127388670183</v>
      </c>
      <c r="X199" s="186">
        <f t="shared" si="111"/>
        <v>58.72127388670183</v>
      </c>
      <c r="Y199" s="186">
        <f t="shared" si="111"/>
        <v>58.72127388670183</v>
      </c>
      <c r="Z199" s="186">
        <f t="shared" si="111"/>
        <v>58.72127388670183</v>
      </c>
      <c r="AA199" s="186">
        <f t="shared" si="111"/>
        <v>58.72127388670183</v>
      </c>
      <c r="AB199" s="186">
        <f t="shared" si="111"/>
        <v>58.72127388670183</v>
      </c>
      <c r="AC199" s="186">
        <f t="shared" si="111"/>
        <v>58.72127388670183</v>
      </c>
      <c r="AD199" s="186">
        <f t="shared" si="111"/>
        <v>58.72127388670183</v>
      </c>
      <c r="AE199" s="186">
        <f t="shared" si="111"/>
        <v>58.72127388670183</v>
      </c>
      <c r="AF199" s="186">
        <f t="shared" si="111"/>
        <v>58.72127388670183</v>
      </c>
    </row>
    <row r="200" spans="1:32" s="16" customFormat="1" ht="15" customHeight="1">
      <c r="A200" s="247" t="s">
        <v>190</v>
      </c>
      <c r="B200" s="180"/>
      <c r="C200" s="180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>
        <f aca="true" t="shared" si="112" ref="X200:AF200">IF($W$178/$C$177*(X$5-$W$5)&gt;$W$178,0,$W$178/$C$177)</f>
        <v>61.13853415973696</v>
      </c>
      <c r="Y200" s="186">
        <f t="shared" si="112"/>
        <v>61.13853415973696</v>
      </c>
      <c r="Z200" s="186">
        <f t="shared" si="112"/>
        <v>61.13853415973696</v>
      </c>
      <c r="AA200" s="186">
        <f t="shared" si="112"/>
        <v>61.13853415973696</v>
      </c>
      <c r="AB200" s="186">
        <f t="shared" si="112"/>
        <v>61.13853415973696</v>
      </c>
      <c r="AC200" s="186">
        <f t="shared" si="112"/>
        <v>61.13853415973696</v>
      </c>
      <c r="AD200" s="186">
        <f t="shared" si="112"/>
        <v>61.13853415973696</v>
      </c>
      <c r="AE200" s="186">
        <f t="shared" si="112"/>
        <v>61.13853415973696</v>
      </c>
      <c r="AF200" s="186">
        <f t="shared" si="112"/>
        <v>61.13853415973696</v>
      </c>
    </row>
    <row r="201" spans="1:32" s="16" customFormat="1" ht="15" customHeight="1">
      <c r="A201" s="247" t="s">
        <v>182</v>
      </c>
      <c r="B201" s="180"/>
      <c r="C201" s="180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>
        <f aca="true" t="shared" si="113" ref="Y201:AF201">IF($X$178/$C$177*(Y$5-$X$5)&gt;$X$178,0,$X$178/$C$177)</f>
        <v>63.66351545241425</v>
      </c>
      <c r="Z201" s="186">
        <f t="shared" si="113"/>
        <v>63.66351545241425</v>
      </c>
      <c r="AA201" s="186">
        <f t="shared" si="113"/>
        <v>63.66351545241425</v>
      </c>
      <c r="AB201" s="186">
        <f t="shared" si="113"/>
        <v>63.66351545241425</v>
      </c>
      <c r="AC201" s="186">
        <f t="shared" si="113"/>
        <v>63.66351545241425</v>
      </c>
      <c r="AD201" s="186">
        <f t="shared" si="113"/>
        <v>63.66351545241425</v>
      </c>
      <c r="AE201" s="186">
        <f t="shared" si="113"/>
        <v>63.66351545241425</v>
      </c>
      <c r="AF201" s="186">
        <f t="shared" si="113"/>
        <v>63.66351545241425</v>
      </c>
    </row>
    <row r="202" spans="1:32" s="16" customFormat="1" ht="15" customHeight="1">
      <c r="A202" s="247" t="s">
        <v>183</v>
      </c>
      <c r="B202" s="180"/>
      <c r="C202" s="180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>
        <f aca="true" t="shared" si="114" ref="Z202:AF202">IF($Y$178/$C$177*(Z$5-$Y$5)&gt;$Y$178,0,$Y$178/$C$177)</f>
        <v>66.29143099462145</v>
      </c>
      <c r="AA202" s="186">
        <f t="shared" si="114"/>
        <v>66.29143099462145</v>
      </c>
      <c r="AB202" s="186">
        <f t="shared" si="114"/>
        <v>66.29143099462145</v>
      </c>
      <c r="AC202" s="186">
        <f t="shared" si="114"/>
        <v>66.29143099462145</v>
      </c>
      <c r="AD202" s="186">
        <f t="shared" si="114"/>
        <v>66.29143099462145</v>
      </c>
      <c r="AE202" s="186">
        <f t="shared" si="114"/>
        <v>66.29143099462145</v>
      </c>
      <c r="AF202" s="186">
        <f t="shared" si="114"/>
        <v>66.29143099462145</v>
      </c>
    </row>
    <row r="203" spans="1:32" s="16" customFormat="1" ht="15" customHeight="1">
      <c r="A203" s="247" t="s">
        <v>184</v>
      </c>
      <c r="B203" s="180"/>
      <c r="C203" s="180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>
        <f aca="true" t="shared" si="115" ref="AA203:AF203">IF($Z$178/$C$177*(AA$5-$Z$5)&gt;$Z$178,0,$Z$178/$C$177)</f>
        <v>69.02697835340913</v>
      </c>
      <c r="AB203" s="186">
        <f t="shared" si="115"/>
        <v>69.02697835340913</v>
      </c>
      <c r="AC203" s="186">
        <f t="shared" si="115"/>
        <v>69.02697835340913</v>
      </c>
      <c r="AD203" s="186">
        <f t="shared" si="115"/>
        <v>69.02697835340913</v>
      </c>
      <c r="AE203" s="186">
        <f t="shared" si="115"/>
        <v>69.02697835340913</v>
      </c>
      <c r="AF203" s="186">
        <f t="shared" si="115"/>
        <v>69.02697835340913</v>
      </c>
    </row>
    <row r="204" spans="1:32" s="16" customFormat="1" ht="15" customHeight="1">
      <c r="A204" s="247" t="s">
        <v>185</v>
      </c>
      <c r="B204" s="180"/>
      <c r="C204" s="180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>
        <f>IF($AA$178/$C$177*(AB$5-$AA$5)&gt;$AA$178,0,$AA$178/$C$177)</f>
        <v>71.87653116146087</v>
      </c>
      <c r="AC204" s="186">
        <f>IF($AA$178/$C$177*(AC$5-$AA$5)&gt;$AA$178,0,$AA$178/$C$177)</f>
        <v>71.87653116146087</v>
      </c>
      <c r="AD204" s="186">
        <f>IF($AA$178/$C$177*(AD$5-$AA$5)&gt;$AA$178,0,$AA$178/$C$177)</f>
        <v>71.87653116146087</v>
      </c>
      <c r="AE204" s="186">
        <f>IF($AA$178/$C$177*(AE$5-$AA$5)&gt;$AA$178,0,$AA$178/$C$177)</f>
        <v>71.87653116146087</v>
      </c>
      <c r="AF204" s="186">
        <f>IF($AA$178/$C$177*(AF$5-$AA$5)&gt;$AA$178,0,$AA$178/$C$177)</f>
        <v>71.87653116146087</v>
      </c>
    </row>
    <row r="205" spans="1:32" s="16" customFormat="1" ht="15" customHeight="1">
      <c r="A205" s="247" t="s">
        <v>186</v>
      </c>
      <c r="B205" s="180"/>
      <c r="C205" s="180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>
        <f>IF($AB$178/$C$177*(AC$5-$AB$5)&gt;$AB$178,0,$AB$178/$C$177)</f>
        <v>74.84277952210576</v>
      </c>
      <c r="AD205" s="186">
        <f>IF($AB$178/$C$177*(AD$5-$AB$5)&gt;$AB$178,0,$AB$178/$C$177)</f>
        <v>74.84277952210576</v>
      </c>
      <c r="AE205" s="186">
        <f>IF($AB$178/$C$177*(AE$5-$AB$5)&gt;$AB$178,0,$AB$178/$C$177)</f>
        <v>74.84277952210576</v>
      </c>
      <c r="AF205" s="186">
        <f>IF($AB$178/$C$177*(AF$5-$AB$5)&gt;$AB$178,0,$AB$178/$C$177)</f>
        <v>74.84277952210576</v>
      </c>
    </row>
    <row r="206" spans="1:32" s="16" customFormat="1" ht="15" customHeight="1">
      <c r="A206" s="247" t="s">
        <v>187</v>
      </c>
      <c r="B206" s="180"/>
      <c r="C206" s="180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>
        <f>IF($AC$178/$C$177*(AD$5-$AC$5)&gt;$AC$178,0,$AC$178/$C$177)</f>
        <v>77.93371076775948</v>
      </c>
      <c r="AE206" s="186">
        <f>IF($AC$178/$C$177*(AE$5-$AC$5)&gt;$AC$178,0,$AC$178/$C$177)</f>
        <v>77.93371076775948</v>
      </c>
      <c r="AF206" s="186">
        <f>IF($AC$178/$C$177*(AF$5-$AC$5)&gt;$AC$178,0,$AC$178/$C$177)</f>
        <v>77.93371076775948</v>
      </c>
    </row>
    <row r="207" spans="1:32" s="16" customFormat="1" ht="15" customHeight="1">
      <c r="A207" s="247" t="s">
        <v>188</v>
      </c>
      <c r="B207" s="180"/>
      <c r="C207" s="180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>
        <f>IF($AD$178/$C$177*(AE$5-$AD$5)&gt;$AD$178,0,$AD$178/$C$177)</f>
        <v>83.85893854962532</v>
      </c>
      <c r="AF207" s="186">
        <f>IF($AD$178/$C$177*(AF$5-$AD$5)&gt;$AD$178,0,$AD$178/$C$177)</f>
        <v>83.85893854962532</v>
      </c>
    </row>
    <row r="208" spans="1:32" s="16" customFormat="1" ht="15" customHeight="1">
      <c r="A208" s="247" t="s">
        <v>189</v>
      </c>
      <c r="B208" s="180"/>
      <c r="C208" s="180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>
        <f>IF($AE$178/$C$177*(AF$5-$AE$5)&gt;$AE$178,0,$AE$178/$C$177)</f>
        <v>87.32043301684085</v>
      </c>
    </row>
    <row r="209" spans="1:32" s="16" customFormat="1" ht="45">
      <c r="A209" s="212" t="s">
        <v>218</v>
      </c>
      <c r="B209" s="198"/>
      <c r="C209" s="195">
        <f aca="true" t="shared" si="116" ref="C209:AF209">SUM(C180:C208)</f>
        <v>0</v>
      </c>
      <c r="D209" s="195">
        <f t="shared" si="116"/>
        <v>3.116666666666667</v>
      </c>
      <c r="E209" s="195">
        <f t="shared" si="116"/>
        <v>40.48590890666668</v>
      </c>
      <c r="F209" s="195">
        <f t="shared" si="116"/>
        <v>80.0546339066667</v>
      </c>
      <c r="G209" s="195">
        <f t="shared" si="116"/>
        <v>86.63408608531729</v>
      </c>
      <c r="H209" s="195">
        <f t="shared" si="116"/>
        <v>91.63603983783595</v>
      </c>
      <c r="I209" s="195">
        <f t="shared" si="116"/>
        <v>96.97721697085922</v>
      </c>
      <c r="J209" s="195">
        <f t="shared" si="116"/>
        <v>102.68392341749852</v>
      </c>
      <c r="K209" s="195">
        <f t="shared" si="116"/>
        <v>108.7818143363187</v>
      </c>
      <c r="L209" s="195">
        <f t="shared" si="116"/>
        <v>115.30089817123135</v>
      </c>
      <c r="M209" s="195">
        <f t="shared" si="116"/>
        <v>122.26800381938504</v>
      </c>
      <c r="N209" s="195">
        <f t="shared" si="116"/>
        <v>129.19276785530724</v>
      </c>
      <c r="O209" s="195">
        <f t="shared" si="116"/>
        <v>145.5075920526751</v>
      </c>
      <c r="P209" s="195">
        <f>SUM(P180:P208)</f>
        <v>164.73480273529768</v>
      </c>
      <c r="Q209" s="195">
        <f t="shared" si="116"/>
        <v>195.42476924071457</v>
      </c>
      <c r="R209" s="195">
        <f t="shared" si="116"/>
        <v>228.98248196858273</v>
      </c>
      <c r="S209" s="195">
        <f t="shared" si="116"/>
        <v>269.89832351526866</v>
      </c>
      <c r="T209" s="195">
        <f t="shared" si="116"/>
        <v>318.4317230004548</v>
      </c>
      <c r="U209" s="195">
        <f t="shared" si="116"/>
        <v>368.96359978587077</v>
      </c>
      <c r="V209" s="195">
        <f t="shared" si="116"/>
        <v>421.97272881136865</v>
      </c>
      <c r="W209" s="195">
        <f t="shared" si="116"/>
        <v>480.6940026980705</v>
      </c>
      <c r="X209" s="195">
        <f t="shared" si="116"/>
        <v>541.8325368578074</v>
      </c>
      <c r="Y209" s="195">
        <f t="shared" si="116"/>
        <v>605.4960523102217</v>
      </c>
      <c r="Z209" s="195">
        <f t="shared" si="116"/>
        <v>671.7874833048431</v>
      </c>
      <c r="AA209" s="195">
        <f t="shared" si="116"/>
        <v>740.8144616582523</v>
      </c>
      <c r="AB209" s="195">
        <f t="shared" si="116"/>
        <v>812.6909928197132</v>
      </c>
      <c r="AC209" s="195">
        <f t="shared" si="116"/>
        <v>887.5337723418189</v>
      </c>
      <c r="AD209" s="195">
        <f t="shared" si="116"/>
        <v>965.4674831095784</v>
      </c>
      <c r="AE209" s="195">
        <f t="shared" si="116"/>
        <v>1049.3264216592038</v>
      </c>
      <c r="AF209" s="195">
        <f t="shared" si="116"/>
        <v>1136.6468546760445</v>
      </c>
    </row>
    <row r="210" spans="1:32" s="16" customFormat="1" ht="15">
      <c r="A210" s="204" t="s">
        <v>149</v>
      </c>
      <c r="B210" s="198"/>
      <c r="C210" s="195">
        <f>C209+C176</f>
        <v>34</v>
      </c>
      <c r="D210" s="195">
        <f aca="true" t="shared" si="117" ref="D210:AF210">D209+D176</f>
        <v>37.11666666666667</v>
      </c>
      <c r="E210" s="195">
        <f t="shared" si="117"/>
        <v>74.48590890666668</v>
      </c>
      <c r="F210" s="195">
        <f t="shared" si="117"/>
        <v>114.0546339066667</v>
      </c>
      <c r="G210" s="195">
        <f t="shared" si="117"/>
        <v>120.63408608531729</v>
      </c>
      <c r="H210" s="195">
        <f t="shared" si="117"/>
        <v>125.63603983783595</v>
      </c>
      <c r="I210" s="195">
        <f t="shared" si="117"/>
        <v>130.97721697085922</v>
      </c>
      <c r="J210" s="195">
        <f>J209+J176</f>
        <v>136.68392341749853</v>
      </c>
      <c r="K210" s="195">
        <f t="shared" si="117"/>
        <v>142.7818143363187</v>
      </c>
      <c r="L210" s="195">
        <f t="shared" si="117"/>
        <v>149.30089817123135</v>
      </c>
      <c r="M210" s="195">
        <f t="shared" si="117"/>
        <v>156.26800381938506</v>
      </c>
      <c r="N210" s="195">
        <f t="shared" si="117"/>
        <v>163.19276785530724</v>
      </c>
      <c r="O210" s="195">
        <f t="shared" si="117"/>
        <v>179.5075920526751</v>
      </c>
      <c r="P210" s="195">
        <f>P209+P176</f>
        <v>198.73480273529768</v>
      </c>
      <c r="Q210" s="195">
        <f t="shared" si="117"/>
        <v>229.42476924071457</v>
      </c>
      <c r="R210" s="195">
        <f t="shared" si="117"/>
        <v>262.98248196858276</v>
      </c>
      <c r="S210" s="195">
        <f t="shared" si="117"/>
        <v>303.89832351526866</v>
      </c>
      <c r="T210" s="195">
        <f t="shared" si="117"/>
        <v>352.4317230004548</v>
      </c>
      <c r="U210" s="195">
        <f t="shared" si="117"/>
        <v>402.96359978587077</v>
      </c>
      <c r="V210" s="195">
        <f t="shared" si="117"/>
        <v>455.97272881136865</v>
      </c>
      <c r="W210" s="195">
        <f t="shared" si="117"/>
        <v>514.6940026980706</v>
      </c>
      <c r="X210" s="195">
        <f t="shared" si="117"/>
        <v>575.8325368578074</v>
      </c>
      <c r="Y210" s="195">
        <f t="shared" si="117"/>
        <v>639.4960523102217</v>
      </c>
      <c r="Z210" s="195">
        <f t="shared" si="117"/>
        <v>705.7874833048431</v>
      </c>
      <c r="AA210" s="195">
        <f t="shared" si="117"/>
        <v>774.8144616582523</v>
      </c>
      <c r="AB210" s="195">
        <f t="shared" si="117"/>
        <v>846.6909928197132</v>
      </c>
      <c r="AC210" s="195">
        <f t="shared" si="117"/>
        <v>921.5337723418189</v>
      </c>
      <c r="AD210" s="195">
        <f t="shared" si="117"/>
        <v>999.4674831095784</v>
      </c>
      <c r="AE210" s="195">
        <f t="shared" si="117"/>
        <v>1083.3264216592038</v>
      </c>
      <c r="AF210" s="195">
        <f t="shared" si="117"/>
        <v>1170.6468546760445</v>
      </c>
    </row>
    <row r="211" spans="1:32" s="236" customFormat="1" ht="15">
      <c r="A211" s="6" t="s">
        <v>34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</row>
    <row r="212" spans="1:32" s="16" customFormat="1" ht="15">
      <c r="A212" s="99" t="s">
        <v>11</v>
      </c>
      <c r="B212" s="194">
        <f>'конкурсная документация'!B83</f>
        <v>1144.8</v>
      </c>
      <c r="C212" s="195">
        <f aca="true" t="shared" si="118" ref="C212:AF212">C159+C160+C161+C166+C170+C210</f>
        <v>1126.70963971331</v>
      </c>
      <c r="D212" s="195">
        <f t="shared" si="118"/>
        <v>1205.2949330128265</v>
      </c>
      <c r="E212" s="195">
        <f t="shared" si="118"/>
        <v>1323.6597948302551</v>
      </c>
      <c r="F212" s="195">
        <f t="shared" si="118"/>
        <v>1473.1533283966846</v>
      </c>
      <c r="G212" s="195">
        <f t="shared" si="118"/>
        <v>1521.8254021487433</v>
      </c>
      <c r="H212" s="195">
        <f t="shared" si="118"/>
        <v>1634.205762233815</v>
      </c>
      <c r="I212" s="195">
        <f t="shared" si="118"/>
        <v>1785.447763758502</v>
      </c>
      <c r="J212" s="195">
        <f t="shared" si="118"/>
        <v>1939.8157722596538</v>
      </c>
      <c r="K212" s="195">
        <f t="shared" si="118"/>
        <v>2080.287400653073</v>
      </c>
      <c r="L212" s="195">
        <f t="shared" si="118"/>
        <v>2140.26596884249</v>
      </c>
      <c r="M212" s="195">
        <f t="shared" si="118"/>
        <v>2200.4342684480894</v>
      </c>
      <c r="N212" s="195">
        <f t="shared" si="118"/>
        <v>2433.5991052830495</v>
      </c>
      <c r="O212" s="195">
        <f t="shared" si="118"/>
        <v>2563.565585251771</v>
      </c>
      <c r="P212" s="195">
        <f t="shared" si="118"/>
        <v>2872.01372287189</v>
      </c>
      <c r="Q212" s="195">
        <f t="shared" si="118"/>
        <v>3023.614135642055</v>
      </c>
      <c r="R212" s="195">
        <f t="shared" si="118"/>
        <v>3161.08788648653</v>
      </c>
      <c r="S212" s="195">
        <f t="shared" si="118"/>
        <v>3323.7385566081634</v>
      </c>
      <c r="T212" s="195">
        <f t="shared" si="118"/>
        <v>3551.572757738181</v>
      </c>
      <c r="U212" s="195">
        <f t="shared" si="118"/>
        <v>3745.4526333341014</v>
      </c>
      <c r="V212" s="195">
        <f t="shared" si="118"/>
        <v>4005.144038446312</v>
      </c>
      <c r="W212" s="195">
        <f t="shared" si="118"/>
        <v>4206.729570973843</v>
      </c>
      <c r="X212" s="195">
        <f t="shared" si="118"/>
        <v>4414.407847628531</v>
      </c>
      <c r="Y212" s="195">
        <f t="shared" si="118"/>
        <v>4632.310900648844</v>
      </c>
      <c r="Z212" s="195">
        <f t="shared" si="118"/>
        <v>4854.010769795223</v>
      </c>
      <c r="AA212" s="195">
        <f t="shared" si="118"/>
        <v>5088.046972639149</v>
      </c>
      <c r="AB212" s="195">
        <f t="shared" si="118"/>
        <v>5327.102999593125</v>
      </c>
      <c r="AC212" s="195">
        <f t="shared" si="118"/>
        <v>5575.843908080146</v>
      </c>
      <c r="AD212" s="195">
        <f t="shared" si="118"/>
        <v>5896.491512263802</v>
      </c>
      <c r="AE212" s="195">
        <f t="shared" si="118"/>
        <v>6173.779972679429</v>
      </c>
      <c r="AF212" s="195">
        <f t="shared" si="118"/>
        <v>6460.970841927854</v>
      </c>
    </row>
    <row r="213" spans="1:32" s="16" customFormat="1" ht="15">
      <c r="A213" s="99" t="s">
        <v>12</v>
      </c>
      <c r="B213" s="220"/>
      <c r="C213" s="214">
        <f aca="true" t="shared" si="119" ref="C213:AF213">(C212-B212)/B212</f>
        <v>-0.015802201508289596</v>
      </c>
      <c r="D213" s="214">
        <f t="shared" si="119"/>
        <v>0.06974760002897679</v>
      </c>
      <c r="E213" s="214">
        <f t="shared" si="119"/>
        <v>0.09820406489352511</v>
      </c>
      <c r="F213" s="214">
        <f t="shared" si="119"/>
        <v>0.11293954394497599</v>
      </c>
      <c r="G213" s="214">
        <f t="shared" si="119"/>
        <v>0.033039380771743</v>
      </c>
      <c r="H213" s="214">
        <f t="shared" si="119"/>
        <v>0.07384576438689758</v>
      </c>
      <c r="I213" s="214">
        <f t="shared" si="119"/>
        <v>0.09254771034337356</v>
      </c>
      <c r="J213" s="214">
        <f t="shared" si="119"/>
        <v>0.08645898896319175</v>
      </c>
      <c r="K213" s="214">
        <f t="shared" si="119"/>
        <v>0.07241493259423616</v>
      </c>
      <c r="L213" s="214">
        <f t="shared" si="119"/>
        <v>0.02883186629433412</v>
      </c>
      <c r="M213" s="214">
        <f t="shared" si="119"/>
        <v>0.028112533900700107</v>
      </c>
      <c r="N213" s="214">
        <f t="shared" si="119"/>
        <v>0.10596310018358578</v>
      </c>
      <c r="O213" s="214">
        <f t="shared" si="119"/>
        <v>0.05340504920739825</v>
      </c>
      <c r="P213" s="214">
        <f t="shared" si="119"/>
        <v>0.12031997129101174</v>
      </c>
      <c r="Q213" s="214">
        <f t="shared" si="119"/>
        <v>0.052785406825483765</v>
      </c>
      <c r="R213" s="214">
        <f t="shared" si="119"/>
        <v>0.04546669802338483</v>
      </c>
      <c r="S213" s="214">
        <f t="shared" si="119"/>
        <v>0.05145401708600253</v>
      </c>
      <c r="T213" s="214">
        <f t="shared" si="119"/>
        <v>0.06854756992755759</v>
      </c>
      <c r="U213" s="214">
        <f t="shared" si="119"/>
        <v>0.054589864496931484</v>
      </c>
      <c r="V213" s="214">
        <f t="shared" si="119"/>
        <v>0.06933511928598078</v>
      </c>
      <c r="W213" s="214">
        <f t="shared" si="119"/>
        <v>0.050331656138322134</v>
      </c>
      <c r="X213" s="214">
        <f t="shared" si="119"/>
        <v>0.04936810725549247</v>
      </c>
      <c r="Y213" s="214">
        <f t="shared" si="119"/>
        <v>0.04936178544023126</v>
      </c>
      <c r="Z213" s="214">
        <f t="shared" si="119"/>
        <v>0.047859453715709224</v>
      </c>
      <c r="AA213" s="214">
        <f t="shared" si="119"/>
        <v>0.04821501515823791</v>
      </c>
      <c r="AB213" s="214">
        <f t="shared" si="119"/>
        <v>0.04698384827016999</v>
      </c>
      <c r="AC213" s="214">
        <f t="shared" si="119"/>
        <v>0.04669346706944091</v>
      </c>
      <c r="AD213" s="214">
        <f t="shared" si="119"/>
        <v>0.05750656034667585</v>
      </c>
      <c r="AE213" s="214">
        <f t="shared" si="119"/>
        <v>0.047026008574575125</v>
      </c>
      <c r="AF213" s="214">
        <f t="shared" si="119"/>
        <v>0.046517833567007345</v>
      </c>
    </row>
    <row r="214" spans="1:32" s="16" customFormat="1" ht="15">
      <c r="A214" s="99" t="s">
        <v>103</v>
      </c>
      <c r="B214" s="194">
        <f>'конкурсная документация'!B84</f>
        <v>95.4</v>
      </c>
      <c r="C214" s="194">
        <f>'конкурсная документация'!C84</f>
        <v>95.4</v>
      </c>
      <c r="D214" s="194">
        <f>'конкурсная документация'!D84</f>
        <v>95.4</v>
      </c>
      <c r="E214" s="194">
        <f>'конкурсная документация'!E84</f>
        <v>98.8</v>
      </c>
      <c r="F214" s="194">
        <f>'конкурсная документация'!F84</f>
        <v>102.3</v>
      </c>
      <c r="G214" s="194">
        <f>'конкурсная документация'!G84</f>
        <v>105.9</v>
      </c>
      <c r="H214" s="194">
        <f>'конкурсная документация'!H84</f>
        <v>109.7</v>
      </c>
      <c r="I214" s="194">
        <f>'конкурсная документация'!I84</f>
        <v>113.6</v>
      </c>
      <c r="J214" s="194">
        <f>'конкурсная документация'!J84</f>
        <v>117.6</v>
      </c>
      <c r="K214" s="194">
        <f>'конкурсная документация'!K84</f>
        <v>124</v>
      </c>
      <c r="L214" s="194">
        <f>'конкурсная документация'!L84</f>
        <v>124</v>
      </c>
      <c r="M214" s="194">
        <f>'конкурсная документация'!M84</f>
        <v>124</v>
      </c>
      <c r="N214" s="194">
        <f>'конкурсная документация'!N84</f>
        <v>124</v>
      </c>
      <c r="O214" s="194">
        <f>'конкурсная документация'!O84</f>
        <v>124</v>
      </c>
      <c r="P214" s="194">
        <f>'конкурсная документация'!P84</f>
        <v>124</v>
      </c>
      <c r="Q214" s="194">
        <f>'конкурсная документация'!Q84</f>
        <v>124</v>
      </c>
      <c r="R214" s="194">
        <f>'конкурсная документация'!R84</f>
        <v>124</v>
      </c>
      <c r="S214" s="194">
        <f>'конкурсная документация'!S84</f>
        <v>124</v>
      </c>
      <c r="T214" s="194">
        <f>'конкурсная документация'!T84</f>
        <v>124</v>
      </c>
      <c r="U214" s="194">
        <f>'конкурсная документация'!U84</f>
        <v>124</v>
      </c>
      <c r="V214" s="194">
        <f>'конкурсная документация'!V84</f>
        <v>124</v>
      </c>
      <c r="W214" s="194">
        <f>'конкурсная документация'!W84</f>
        <v>124</v>
      </c>
      <c r="X214" s="194">
        <f>'конкурсная документация'!X84</f>
        <v>124</v>
      </c>
      <c r="Y214" s="194">
        <f>'конкурсная документация'!Y84</f>
        <v>124</v>
      </c>
      <c r="Z214" s="194">
        <f>'конкурсная документация'!Z84</f>
        <v>124</v>
      </c>
      <c r="AA214" s="194">
        <f>'конкурсная документация'!AA84</f>
        <v>124</v>
      </c>
      <c r="AB214" s="194">
        <f>'конкурсная документация'!AB84</f>
        <v>124</v>
      </c>
      <c r="AC214" s="194">
        <f>'конкурсная документация'!AC84</f>
        <v>124</v>
      </c>
      <c r="AD214" s="194">
        <f>'конкурсная документация'!AD84</f>
        <v>124</v>
      </c>
      <c r="AE214" s="194">
        <f>'конкурсная документация'!AE84</f>
        <v>124</v>
      </c>
      <c r="AF214" s="194">
        <f>'конкурсная документация'!AF84</f>
        <v>124</v>
      </c>
    </row>
    <row r="215" spans="1:32" s="16" customFormat="1" ht="14.25" customHeight="1">
      <c r="A215" s="99" t="s">
        <v>24</v>
      </c>
      <c r="B215" s="198">
        <f>B212*1000/B214</f>
        <v>12000</v>
      </c>
      <c r="C215" s="198">
        <f>C212*1000/C214</f>
        <v>11810.373581900523</v>
      </c>
      <c r="D215" s="198">
        <f aca="true" t="shared" si="120" ref="D215:AF215">D212*1000/D214</f>
        <v>12634.118794683716</v>
      </c>
      <c r="E215" s="198">
        <f t="shared" si="120"/>
        <v>13397.366344435783</v>
      </c>
      <c r="F215" s="198">
        <f t="shared" si="120"/>
        <v>14400.325790778932</v>
      </c>
      <c r="G215" s="198">
        <f t="shared" si="120"/>
        <v>14370.400398005127</v>
      </c>
      <c r="H215" s="198">
        <f t="shared" si="120"/>
        <v>14897.044323006518</v>
      </c>
      <c r="I215" s="198">
        <f t="shared" si="120"/>
        <v>15716.969751395267</v>
      </c>
      <c r="J215" s="198">
        <f t="shared" si="120"/>
        <v>16495.032077037875</v>
      </c>
      <c r="K215" s="198">
        <f t="shared" si="120"/>
        <v>16776.5112955893</v>
      </c>
      <c r="L215" s="198">
        <f t="shared" si="120"/>
        <v>17260.209426149115</v>
      </c>
      <c r="M215" s="198">
        <f t="shared" si="120"/>
        <v>17745.437648774914</v>
      </c>
      <c r="N215" s="198">
        <f t="shared" si="120"/>
        <v>19625.799236153623</v>
      </c>
      <c r="O215" s="198">
        <f t="shared" si="120"/>
        <v>20673.91601009493</v>
      </c>
      <c r="P215" s="198">
        <f t="shared" si="120"/>
        <v>23161.400990902337</v>
      </c>
      <c r="Q215" s="198">
        <f t="shared" si="120"/>
        <v>24383.98496485528</v>
      </c>
      <c r="R215" s="198">
        <f t="shared" si="120"/>
        <v>25492.644245859112</v>
      </c>
      <c r="S215" s="198">
        <f t="shared" si="120"/>
        <v>26804.34319845293</v>
      </c>
      <c r="T215" s="198">
        <f t="shared" si="120"/>
        <v>28641.715788211135</v>
      </c>
      <c r="U215" s="198">
        <f t="shared" si="120"/>
        <v>30205.263172049203</v>
      </c>
      <c r="V215" s="198">
        <f t="shared" si="120"/>
        <v>32299.54869714768</v>
      </c>
      <c r="W215" s="198">
        <f t="shared" si="120"/>
        <v>33925.238475595506</v>
      </c>
      <c r="X215" s="198">
        <f t="shared" si="120"/>
        <v>35600.06328732686</v>
      </c>
      <c r="Y215" s="198">
        <f t="shared" si="120"/>
        <v>37357.345972974545</v>
      </c>
      <c r="Z215" s="198">
        <f t="shared" si="120"/>
        <v>39145.24814350986</v>
      </c>
      <c r="AA215" s="198">
        <f t="shared" si="120"/>
        <v>41032.63687612217</v>
      </c>
      <c r="AB215" s="198">
        <f t="shared" si="120"/>
        <v>42960.508061234876</v>
      </c>
      <c r="AC215" s="198">
        <f t="shared" si="120"/>
        <v>44966.4831296786</v>
      </c>
      <c r="AD215" s="198">
        <f t="shared" si="120"/>
        <v>47552.35090535324</v>
      </c>
      <c r="AE215" s="198">
        <f t="shared" si="120"/>
        <v>49788.548166769586</v>
      </c>
      <c r="AF215" s="198">
        <f t="shared" si="120"/>
        <v>52104.60356393431</v>
      </c>
    </row>
    <row r="216" spans="1:32" s="16" customFormat="1" ht="15">
      <c r="A216" s="99" t="s">
        <v>13</v>
      </c>
      <c r="B216" s="198"/>
      <c r="C216" s="214">
        <f aca="true" t="shared" si="121" ref="C216:AF216">(C215-B215)/B215</f>
        <v>-0.015802201508289728</v>
      </c>
      <c r="D216" s="214">
        <f t="shared" si="121"/>
        <v>0.0697476000289769</v>
      </c>
      <c r="E216" s="214">
        <f t="shared" si="121"/>
        <v>0.060411617316217706</v>
      </c>
      <c r="F216" s="214">
        <f t="shared" si="121"/>
        <v>0.07486243344832474</v>
      </c>
      <c r="G216" s="214">
        <f t="shared" si="121"/>
        <v>-0.0020781052601578577</v>
      </c>
      <c r="H216" s="214">
        <f t="shared" si="121"/>
        <v>0.036647825419986055</v>
      </c>
      <c r="I216" s="214">
        <f t="shared" si="121"/>
        <v>0.055039470287571265</v>
      </c>
      <c r="J216" s="214">
        <f t="shared" si="121"/>
        <v>0.049504601583491355</v>
      </c>
      <c r="K216" s="214">
        <f t="shared" si="121"/>
        <v>0.017064484460340045</v>
      </c>
      <c r="L216" s="214">
        <f t="shared" si="121"/>
        <v>0.028831866294334107</v>
      </c>
      <c r="M216" s="214">
        <f t="shared" si="121"/>
        <v>0.02811253390070004</v>
      </c>
      <c r="N216" s="214">
        <f t="shared" si="121"/>
        <v>0.10596310018358568</v>
      </c>
      <c r="O216" s="214">
        <f t="shared" si="121"/>
        <v>0.05340504920739843</v>
      </c>
      <c r="P216" s="214">
        <f t="shared" si="121"/>
        <v>0.12031997129101159</v>
      </c>
      <c r="Q216" s="214">
        <f t="shared" si="121"/>
        <v>0.05278540682548381</v>
      </c>
      <c r="R216" s="214">
        <f t="shared" si="121"/>
        <v>0.04546669802338483</v>
      </c>
      <c r="S216" s="214">
        <f t="shared" si="121"/>
        <v>0.05145401708600253</v>
      </c>
      <c r="T216" s="214">
        <f t="shared" si="121"/>
        <v>0.06854756992755758</v>
      </c>
      <c r="U216" s="214">
        <f t="shared" si="121"/>
        <v>0.054589864496931435</v>
      </c>
      <c r="V216" s="214">
        <f t="shared" si="121"/>
        <v>0.06933511928598085</v>
      </c>
      <c r="W216" s="214">
        <f t="shared" si="121"/>
        <v>0.05033165613832214</v>
      </c>
      <c r="X216" s="214">
        <f t="shared" si="121"/>
        <v>0.049368107255492386</v>
      </c>
      <c r="Y216" s="214">
        <f t="shared" si="121"/>
        <v>0.04936178544023125</v>
      </c>
      <c r="Z216" s="214">
        <f t="shared" si="121"/>
        <v>0.04785945371570932</v>
      </c>
      <c r="AA216" s="214">
        <f t="shared" si="121"/>
        <v>0.04821501515823779</v>
      </c>
      <c r="AB216" s="214">
        <f t="shared" si="121"/>
        <v>0.04698384827017005</v>
      </c>
      <c r="AC216" s="214">
        <f t="shared" si="121"/>
        <v>0.04669346706944097</v>
      </c>
      <c r="AD216" s="214">
        <f t="shared" si="121"/>
        <v>0.05750656034667576</v>
      </c>
      <c r="AE216" s="214">
        <f t="shared" si="121"/>
        <v>0.04702600857457511</v>
      </c>
      <c r="AF216" s="214">
        <f t="shared" si="121"/>
        <v>0.046517833567007505</v>
      </c>
    </row>
    <row r="217" spans="1:32" s="91" customFormat="1" ht="15">
      <c r="A217" s="5" t="s">
        <v>44</v>
      </c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8"/>
      <c r="X217" s="149"/>
      <c r="Y217" s="149"/>
      <c r="Z217" s="149"/>
      <c r="AA217" s="149"/>
      <c r="AB217" s="149"/>
      <c r="AC217" s="149"/>
      <c r="AD217" s="149"/>
      <c r="AE217" s="149"/>
      <c r="AF217" s="149"/>
    </row>
    <row r="218" spans="1:32" s="16" customFormat="1" ht="15">
      <c r="A218" s="226" t="s">
        <v>46</v>
      </c>
      <c r="B218" s="220"/>
      <c r="C218" s="220">
        <f>SUM(C219:C222)</f>
        <v>1142.65963971331</v>
      </c>
      <c r="D218" s="220">
        <f aca="true" t="shared" si="122" ref="D218:AF218">SUM(D219:D222)</f>
        <v>1222.8894330128264</v>
      </c>
      <c r="E218" s="220">
        <f t="shared" si="122"/>
        <v>1342.2550198302552</v>
      </c>
      <c r="F218" s="220">
        <f t="shared" si="122"/>
        <v>1493.0502191466846</v>
      </c>
      <c r="G218" s="220">
        <f t="shared" si="122"/>
        <v>1543.1150752512433</v>
      </c>
      <c r="H218" s="220">
        <f t="shared" si="122"/>
        <v>1656.98571245349</v>
      </c>
      <c r="I218" s="220">
        <f t="shared" si="122"/>
        <v>1809.8223104935544</v>
      </c>
      <c r="J218" s="220">
        <f t="shared" si="122"/>
        <v>1965.8965372661598</v>
      </c>
      <c r="K218" s="220">
        <f t="shared" si="122"/>
        <v>2108.1938192100342</v>
      </c>
      <c r="L218" s="220">
        <f t="shared" si="122"/>
        <v>2170.125836698439</v>
      </c>
      <c r="M218" s="220">
        <f t="shared" si="122"/>
        <v>2232.384327053954</v>
      </c>
      <c r="N218" s="220">
        <f t="shared" si="122"/>
        <v>2467.7856679913248</v>
      </c>
      <c r="O218" s="220">
        <f t="shared" si="122"/>
        <v>2600.1452073496257</v>
      </c>
      <c r="P218" s="220">
        <f t="shared" si="122"/>
        <v>2911.153918516595</v>
      </c>
      <c r="Q218" s="220">
        <f t="shared" si="122"/>
        <v>3065.4941449818893</v>
      </c>
      <c r="R218" s="220">
        <f t="shared" si="122"/>
        <v>3205.8994964801523</v>
      </c>
      <c r="S218" s="220">
        <f t="shared" si="122"/>
        <v>3371.6869793013393</v>
      </c>
      <c r="T218" s="220">
        <f t="shared" si="122"/>
        <v>3602.877570019879</v>
      </c>
      <c r="U218" s="220">
        <f t="shared" si="122"/>
        <v>3800.348782475519</v>
      </c>
      <c r="V218" s="220">
        <f t="shared" si="122"/>
        <v>4063.8829180276284</v>
      </c>
      <c r="W218" s="220">
        <f t="shared" si="122"/>
        <v>4269.580172125851</v>
      </c>
      <c r="X218" s="220">
        <f t="shared" si="122"/>
        <v>4481.65799086118</v>
      </c>
      <c r="Y218" s="220">
        <f t="shared" si="122"/>
        <v>4704.268553907778</v>
      </c>
      <c r="Z218" s="220">
        <f t="shared" si="122"/>
        <v>4931.005458782282</v>
      </c>
      <c r="AA218" s="220">
        <f t="shared" si="122"/>
        <v>5170.4312898553035</v>
      </c>
      <c r="AB218" s="220">
        <f t="shared" si="122"/>
        <v>5415.25421901441</v>
      </c>
      <c r="AC218" s="220">
        <f t="shared" si="122"/>
        <v>5670.165712860921</v>
      </c>
      <c r="AD218" s="220">
        <f t="shared" si="122"/>
        <v>5997.415843379232</v>
      </c>
      <c r="AE218" s="220">
        <f t="shared" si="122"/>
        <v>6281.769006972938</v>
      </c>
      <c r="AF218" s="220">
        <f t="shared" si="122"/>
        <v>6576.519108621909</v>
      </c>
    </row>
    <row r="219" spans="1:32" s="16" customFormat="1" ht="35.25" customHeight="1">
      <c r="A219" s="227" t="s">
        <v>104</v>
      </c>
      <c r="B219" s="220"/>
      <c r="C219" s="220">
        <f>C212</f>
        <v>1126.70963971331</v>
      </c>
      <c r="D219" s="220">
        <f aca="true" t="shared" si="123" ref="D219:AF219">D212</f>
        <v>1205.2949330128265</v>
      </c>
      <c r="E219" s="220">
        <f t="shared" si="123"/>
        <v>1323.6597948302551</v>
      </c>
      <c r="F219" s="220">
        <f t="shared" si="123"/>
        <v>1473.1533283966846</v>
      </c>
      <c r="G219" s="220">
        <f t="shared" si="123"/>
        <v>1521.8254021487433</v>
      </c>
      <c r="H219" s="220">
        <f t="shared" si="123"/>
        <v>1634.205762233815</v>
      </c>
      <c r="I219" s="220">
        <f t="shared" si="123"/>
        <v>1785.447763758502</v>
      </c>
      <c r="J219" s="220">
        <f t="shared" si="123"/>
        <v>1939.8157722596538</v>
      </c>
      <c r="K219" s="220">
        <f t="shared" si="123"/>
        <v>2080.287400653073</v>
      </c>
      <c r="L219" s="220">
        <f t="shared" si="123"/>
        <v>2140.26596884249</v>
      </c>
      <c r="M219" s="220">
        <f t="shared" si="123"/>
        <v>2200.4342684480894</v>
      </c>
      <c r="N219" s="220">
        <f t="shared" si="123"/>
        <v>2433.5991052830495</v>
      </c>
      <c r="O219" s="220">
        <f t="shared" si="123"/>
        <v>2563.565585251771</v>
      </c>
      <c r="P219" s="220">
        <f t="shared" si="123"/>
        <v>2872.01372287189</v>
      </c>
      <c r="Q219" s="220">
        <f t="shared" si="123"/>
        <v>3023.614135642055</v>
      </c>
      <c r="R219" s="220">
        <f t="shared" si="123"/>
        <v>3161.08788648653</v>
      </c>
      <c r="S219" s="220">
        <f t="shared" si="123"/>
        <v>3323.7385566081634</v>
      </c>
      <c r="T219" s="220">
        <f t="shared" si="123"/>
        <v>3551.572757738181</v>
      </c>
      <c r="U219" s="220">
        <f t="shared" si="123"/>
        <v>3745.4526333341014</v>
      </c>
      <c r="V219" s="220">
        <f t="shared" si="123"/>
        <v>4005.144038446312</v>
      </c>
      <c r="W219" s="220">
        <f t="shared" si="123"/>
        <v>4206.729570973843</v>
      </c>
      <c r="X219" s="220">
        <f t="shared" si="123"/>
        <v>4414.407847628531</v>
      </c>
      <c r="Y219" s="220">
        <f t="shared" si="123"/>
        <v>4632.310900648844</v>
      </c>
      <c r="Z219" s="220">
        <f t="shared" si="123"/>
        <v>4854.010769795223</v>
      </c>
      <c r="AA219" s="220">
        <f t="shared" si="123"/>
        <v>5088.046972639149</v>
      </c>
      <c r="AB219" s="220">
        <f t="shared" si="123"/>
        <v>5327.102999593125</v>
      </c>
      <c r="AC219" s="220">
        <f t="shared" si="123"/>
        <v>5575.843908080146</v>
      </c>
      <c r="AD219" s="220">
        <f t="shared" si="123"/>
        <v>5896.491512263802</v>
      </c>
      <c r="AE219" s="220">
        <f t="shared" si="123"/>
        <v>6173.779972679429</v>
      </c>
      <c r="AF219" s="220">
        <f t="shared" si="123"/>
        <v>6460.970841927854</v>
      </c>
    </row>
    <row r="220" spans="1:32" s="170" customFormat="1" ht="76.5" customHeight="1">
      <c r="A220" s="228" t="s">
        <v>228</v>
      </c>
      <c r="B220" s="221"/>
      <c r="C220" s="221">
        <f>IF('основные условия'!$J$10=1,'конкурсные предложения'!B45,'конкурсные предложения'!B48)*C12</f>
        <v>11</v>
      </c>
      <c r="D220" s="221">
        <f>IF('основные условия'!$J$10=1,'конкурсные предложения'!C45,'конкурсные предложения'!C48)*D12</f>
        <v>12.100000000000001</v>
      </c>
      <c r="E220" s="221">
        <f>IF('основные условия'!$J$10=1,'конкурсные предложения'!D45,'конкурсные предложения'!D48)*E12</f>
        <v>12.826000000000002</v>
      </c>
      <c r="F220" s="221">
        <f>IF('основные условия'!$J$10=1,'конкурсные предложения'!E45,'конкурсные предложения'!E48)*F12</f>
        <v>13.723820000000002</v>
      </c>
      <c r="G220" s="221">
        <f>IF('основные условия'!$J$10=1,'конкурсные предложения'!F45,'конкурсные предложения'!F48)*G12</f>
        <v>14.684487400000004</v>
      </c>
      <c r="H220" s="221">
        <f>IF('основные условия'!$J$10=1,'конкурсные предложения'!G45,'конкурсные предложения'!G48)*H12</f>
        <v>15.712401518000005</v>
      </c>
      <c r="I220" s="221">
        <f>IF('основные условия'!$J$10=1,'конкурсные предложения'!H45,'конкурсные предложения'!H48)*I12</f>
        <v>16.812269624260008</v>
      </c>
      <c r="J220" s="221">
        <f>IF('основные условия'!$J$10=1,'конкурсные предложения'!I45,'конкурсные предложения'!I48)*J12</f>
        <v>17.98912849795821</v>
      </c>
      <c r="K220" s="221">
        <f>IF('основные условия'!$J$10=1,'конкурсные предложения'!J45,'конкурсные предложения'!J48)*K12</f>
        <v>19.248367492815284</v>
      </c>
      <c r="L220" s="221">
        <f>IF('основные условия'!$J$10=1,'конкурсные предложения'!K45,'конкурсные предложения'!K48)*L12</f>
        <v>20.595753217312357</v>
      </c>
      <c r="M220" s="221">
        <f>IF('основные условия'!$J$10=1,'конкурсные предложения'!L45,'конкурсные предложения'!L48)*M12</f>
        <v>22.03745594252422</v>
      </c>
      <c r="N220" s="221">
        <f>IF('основные условия'!$J$10=1,'конкурсные предложения'!M45,'конкурсные предложения'!M48)*N12</f>
        <v>23.580077858500918</v>
      </c>
      <c r="O220" s="221">
        <f>IF('основные условия'!$J$10=1,'конкурсные предложения'!N45,'конкурсные предложения'!N48)*O12</f>
        <v>25.23068330859598</v>
      </c>
      <c r="P220" s="221">
        <f>IF('основные условия'!$J$10=1,'конкурсные предложения'!O45,'конкурсные предложения'!O48)*P12</f>
        <v>26.996831140197703</v>
      </c>
      <c r="Q220" s="221">
        <f>IF('основные условия'!$J$10=1,'конкурсные предложения'!P45,'конкурсные предложения'!P48)*Q12</f>
        <v>28.886609320011544</v>
      </c>
      <c r="R220" s="221">
        <f>IF('основные условия'!$J$10=1,'конкурсные предложения'!Q45,'конкурсные предложения'!Q48)*R12</f>
        <v>30.90867197241235</v>
      </c>
      <c r="S220" s="221">
        <f>IF('основные условия'!$J$10=1,'конкурсные предложения'!R45,'конкурсные предложения'!R48)*S12</f>
        <v>33.07227901048122</v>
      </c>
      <c r="T220" s="221">
        <f>IF('основные условия'!$J$10=1,'конкурсные предложения'!S45,'конкурсные предложения'!S48)*T12</f>
        <v>35.3873385412149</v>
      </c>
      <c r="U220" s="221">
        <f>IF('основные условия'!$J$10=1,'конкурсные предложения'!T45,'конкурсные предложения'!T48)*U12</f>
        <v>37.86445223909995</v>
      </c>
      <c r="V220" s="221">
        <f>IF('основные условия'!$J$10=1,'конкурсные предложения'!U45,'конкурсные предложения'!U48)*V12</f>
        <v>40.51496389583694</v>
      </c>
      <c r="W220" s="221">
        <f>IF('основные условия'!$J$10=1,'конкурсные предложения'!V45,'конкурсные предложения'!V48)*W12</f>
        <v>43.351011368545535</v>
      </c>
      <c r="X220" s="221">
        <f>IF('основные условия'!$J$10=1,'конкурсные предложения'!W45,'конкурсные предложения'!W48)*X12</f>
        <v>46.385582164343724</v>
      </c>
      <c r="Y220" s="221">
        <f>IF('основные условия'!$J$10=1,'конкурсные предложения'!X45,'конкурсные предложения'!X48)*Y12</f>
        <v>49.63257291584779</v>
      </c>
      <c r="Z220" s="221">
        <f>IF('основные условия'!$J$10=1,'конкурсные предложения'!Y45,'конкурсные предложения'!Y48)*Z12</f>
        <v>53.10685301995714</v>
      </c>
      <c r="AA220" s="221">
        <f>IF('основные условия'!$J$10=1,'конкурсные предложения'!Z45,'конкурсные предложения'!Z48)*AA12</f>
        <v>56.82433273135415</v>
      </c>
      <c r="AB220" s="221">
        <f>IF('основные условия'!$J$10=1,'конкурсные предложения'!AA45,'конкурсные предложения'!AA48)*AB12</f>
        <v>60.80203602254894</v>
      </c>
      <c r="AC220" s="221">
        <f>IF('основные условия'!$J$10=1,'конкурсные предложения'!AB45,'конкурсные предложения'!AB48)*AC12</f>
        <v>65.05817854412737</v>
      </c>
      <c r="AD220" s="221">
        <f>IF('основные условия'!$J$10=1,'конкурсные предложения'!AC45,'конкурсные предложения'!AC48)*AD12</f>
        <v>69.61225104221629</v>
      </c>
      <c r="AE220" s="221">
        <f>IF('основные условия'!$J$10=1,'конкурсные предложения'!AD45,'конкурсные предложения'!AD48)*AE12</f>
        <v>74.48510861517143</v>
      </c>
      <c r="AF220" s="221">
        <f>IF('основные условия'!$J$10=1,'конкурсные предложения'!AE45,'конкурсные предложения'!AE48)*AF12</f>
        <v>79.69906621823343</v>
      </c>
    </row>
    <row r="221" spans="1:32" s="170" customFormat="1" ht="49.5" customHeight="1">
      <c r="A221" s="229" t="s">
        <v>229</v>
      </c>
      <c r="B221" s="218"/>
      <c r="C221" s="221">
        <f>'конкурсные предложения'!B46*C8</f>
        <v>4.95</v>
      </c>
      <c r="D221" s="221">
        <f>'конкурсные предложения'!C46*D8</f>
        <v>5.494500000000001</v>
      </c>
      <c r="E221" s="221">
        <f>'конкурсные предложения'!D46*E8</f>
        <v>5.769225000000001</v>
      </c>
      <c r="F221" s="221">
        <f>'конкурсные предложения'!E46*F8</f>
        <v>6.173070750000003</v>
      </c>
      <c r="G221" s="221">
        <f>'конкурсные предложения'!F46*G8</f>
        <v>6.605185702500003</v>
      </c>
      <c r="H221" s="221">
        <f>'конкурсные предложения'!G46*H8</f>
        <v>7.067548701675004</v>
      </c>
      <c r="I221" s="221">
        <f>'конкурсные предложения'!H46*I8</f>
        <v>7.562277110792254</v>
      </c>
      <c r="J221" s="221">
        <f>'конкурсные предложения'!I46*J8</f>
        <v>8.091636508547714</v>
      </c>
      <c r="K221" s="221">
        <f>'конкурсные предложения'!J46*K8</f>
        <v>8.658051064146054</v>
      </c>
      <c r="L221" s="221">
        <f>'конкурсные предложения'!K46*L8</f>
        <v>9.264114638636277</v>
      </c>
      <c r="M221" s="221">
        <f>'конкурсные предложения'!L46*M8</f>
        <v>9.912602663340817</v>
      </c>
      <c r="N221" s="221">
        <f>'конкурсные предложения'!M46*N8</f>
        <v>10.606484849774674</v>
      </c>
      <c r="O221" s="221">
        <f>'конкурсные предложения'!N46*O8</f>
        <v>11.348938789258904</v>
      </c>
      <c r="P221" s="221">
        <f>'конкурсные предложения'!O46*P8</f>
        <v>12.143364504507026</v>
      </c>
      <c r="Q221" s="221">
        <f>'конкурсные предложения'!P46*Q8</f>
        <v>12.99340001982252</v>
      </c>
      <c r="R221" s="221">
        <f>'конкурсные предложения'!Q46*R8</f>
        <v>13.902938021210097</v>
      </c>
      <c r="S221" s="221">
        <f>'конкурсные предложения'!R46*S8</f>
        <v>14.876143682694806</v>
      </c>
      <c r="T221" s="221">
        <f>'конкурсные предложения'!S46*T8</f>
        <v>15.917473740483443</v>
      </c>
      <c r="U221" s="221">
        <f>'конкурсные предложения'!T46*U8</f>
        <v>17.031696902317286</v>
      </c>
      <c r="V221" s="221">
        <f>'конкурсные предложения'!U46*V8</f>
        <v>18.223915685479497</v>
      </c>
      <c r="W221" s="221">
        <f>'конкурсные предложения'!V46*W8</f>
        <v>19.49958978346306</v>
      </c>
      <c r="X221" s="221">
        <f>'конкурсные предложения'!W46*X8</f>
        <v>20.864561068305473</v>
      </c>
      <c r="Y221" s="221">
        <f>'конкурсные предложения'!X46*Y8</f>
        <v>22.325080343086857</v>
      </c>
      <c r="Z221" s="221">
        <f>'конкурсные предложения'!Y46*Z8</f>
        <v>23.887835967102937</v>
      </c>
      <c r="AA221" s="221">
        <f>'конкурсные предложения'!Z46*AA8</f>
        <v>25.559984484800147</v>
      </c>
      <c r="AB221" s="221">
        <f>'конкурсные предложения'!AA46*AB8</f>
        <v>27.34918339873616</v>
      </c>
      <c r="AC221" s="221">
        <f>'конкурсные предложения'!AB46*AC8</f>
        <v>29.263626236647692</v>
      </c>
      <c r="AD221" s="221">
        <f>'конкурсные предложения'!AC46*AD8</f>
        <v>31.312080073213032</v>
      </c>
      <c r="AE221" s="221">
        <f>'конкурсные предложения'!AD46*AE8</f>
        <v>33.50392567833795</v>
      </c>
      <c r="AF221" s="221">
        <f>'конкурсные предложения'!AE46*AF8</f>
        <v>35.849200475821604</v>
      </c>
    </row>
    <row r="222" spans="1:32" s="170" customFormat="1" ht="15" customHeight="1">
      <c r="A222" s="229" t="s">
        <v>224</v>
      </c>
      <c r="B222" s="218"/>
      <c r="C222" s="221">
        <f>'конкурсные предложения'!B47*(C12*C8)^(1/2)</f>
        <v>0</v>
      </c>
      <c r="D222" s="221">
        <f>'конкурсные предложения'!C47*(D12*D8)^(1/2)</f>
        <v>0</v>
      </c>
      <c r="E222" s="221">
        <f>'конкурсные предложения'!D47*(E12*E8)^(1/2)</f>
        <v>0</v>
      </c>
      <c r="F222" s="221">
        <f>'конкурсные предложения'!E47*(F12*F8)^(1/2)</f>
        <v>0</v>
      </c>
      <c r="G222" s="221">
        <f>'конкурсные предложения'!F47*(G12*G8)^(1/2)</f>
        <v>0</v>
      </c>
      <c r="H222" s="221">
        <f>'конкурсные предложения'!G47*(H12*H8)^(1/2)</f>
        <v>0</v>
      </c>
      <c r="I222" s="221">
        <f>'конкурсные предложения'!H47*(I12*I8)^(1/2)</f>
        <v>0</v>
      </c>
      <c r="J222" s="221">
        <f>'конкурсные предложения'!I47*(J12*J8)^(1/2)</f>
        <v>0</v>
      </c>
      <c r="K222" s="221">
        <f>'конкурсные предложения'!J47*(K12*K8)^(1/2)</f>
        <v>0</v>
      </c>
      <c r="L222" s="221">
        <f>'конкурсные предложения'!K47*(L12*L8)^(1/2)</f>
        <v>0</v>
      </c>
      <c r="M222" s="221">
        <f>'конкурсные предложения'!L47*(M12*M8)^(1/2)</f>
        <v>0</v>
      </c>
      <c r="N222" s="221">
        <f>'конкурсные предложения'!M47*(N12*N8)^(1/2)</f>
        <v>0</v>
      </c>
      <c r="O222" s="221">
        <f>'конкурсные предложения'!N47*(O12*O8)^(1/2)</f>
        <v>0</v>
      </c>
      <c r="P222" s="221">
        <f>'конкурсные предложения'!O47*(P12*P8)^(1/2)</f>
        <v>0</v>
      </c>
      <c r="Q222" s="221">
        <f>'конкурсные предложения'!P47*(Q12*Q8)^(1/2)</f>
        <v>0</v>
      </c>
      <c r="R222" s="221">
        <f>'конкурсные предложения'!Q47*(R12*R8)^(1/2)</f>
        <v>0</v>
      </c>
      <c r="S222" s="221">
        <f>'конкурсные предложения'!R47*(S12*S8)^(1/2)</f>
        <v>0</v>
      </c>
      <c r="T222" s="221">
        <f>'конкурсные предложения'!S47*(T12*T8)^(1/2)</f>
        <v>0</v>
      </c>
      <c r="U222" s="221">
        <f>'конкурсные предложения'!T47*(U12*U8)^(1/2)</f>
        <v>0</v>
      </c>
      <c r="V222" s="221">
        <f>'конкурсные предложения'!U47*(V12*V8)^(1/2)</f>
        <v>0</v>
      </c>
      <c r="W222" s="221">
        <f>'конкурсные предложения'!V47*(W12*W8)^(1/2)</f>
        <v>0</v>
      </c>
      <c r="X222" s="221">
        <f>'конкурсные предложения'!W47*(X12*X8)^(1/2)</f>
        <v>0</v>
      </c>
      <c r="Y222" s="221">
        <f>'конкурсные предложения'!X47*(Y12*Y8)^(1/2)</f>
        <v>0</v>
      </c>
      <c r="Z222" s="221">
        <f>'конкурсные предложения'!Y47*(Z12*Z8)^(1/2)</f>
        <v>0</v>
      </c>
      <c r="AA222" s="221">
        <f>'конкурсные предложения'!Z47*(AA12*AA8)^(1/2)</f>
        <v>0</v>
      </c>
      <c r="AB222" s="221">
        <f>'конкурсные предложения'!AA47*(AB12*AB8)^(1/2)</f>
        <v>0</v>
      </c>
      <c r="AC222" s="221">
        <f>'конкурсные предложения'!AB47*(AC12*AC8)^(1/2)</f>
        <v>0</v>
      </c>
      <c r="AD222" s="221">
        <f>'конкурсные предложения'!AC47*(AD12*AD8)^(1/2)</f>
        <v>0</v>
      </c>
      <c r="AE222" s="221">
        <f>'конкурсные предложения'!AD47*(AE12*AE8)^(1/2)</f>
        <v>0</v>
      </c>
      <c r="AF222" s="221">
        <f>'конкурсные предложения'!AE47*(AF12*AF8)^(1/2)</f>
        <v>0</v>
      </c>
    </row>
    <row r="223" spans="1:32" s="16" customFormat="1" ht="15">
      <c r="A223" s="226" t="s">
        <v>44</v>
      </c>
      <c r="B223" s="220"/>
      <c r="C223" s="220">
        <f>C218/((1+'конкурсная документация'!$B$8)^(C5-1))</f>
        <v>1142.65963971331</v>
      </c>
      <c r="D223" s="220">
        <f>D218/((1+'конкурсная документация'!$B$8)^(D5-1))</f>
        <v>1104.6878346999335</v>
      </c>
      <c r="E223" s="220">
        <f>E218/((1+'конкурсная документация'!$B$8)^(E5-1))</f>
        <v>1095.3169163549485</v>
      </c>
      <c r="F223" s="220">
        <f>F218/((1+'конкурсная документация'!$B$8)^(F5-1))</f>
        <v>1100.6051811630064</v>
      </c>
      <c r="G223" s="220">
        <f>G218/((1+'конкурсная документация'!$B$8)^(G5-1))</f>
        <v>1027.5615154011143</v>
      </c>
      <c r="H223" s="220">
        <f>H218/((1+'конкурсная документация'!$B$8)^(H5-1))</f>
        <v>996.7371818343565</v>
      </c>
      <c r="I223" s="220">
        <f>I218/((1+'конкурсная документация'!$B$8)^(I5-1))</f>
        <v>983.4453073692235</v>
      </c>
      <c r="J223" s="220">
        <f>J218/((1+'конкурсная документация'!$B$8)^(J5-1))</f>
        <v>964.9999960326494</v>
      </c>
      <c r="K223" s="220">
        <f>K218/((1+'конкурсная документация'!$B$8)^(K5-1))</f>
        <v>934.8233867026681</v>
      </c>
      <c r="L223" s="220">
        <f>L218/((1+'конкурсная документация'!$B$8)^(L5-1))</f>
        <v>869.2732785560776</v>
      </c>
      <c r="M223" s="220">
        <f>M218/((1+'конкурсная документация'!$B$8)^(M5-1))</f>
        <v>807.779367293953</v>
      </c>
      <c r="N223" s="220">
        <f>N218/((1+'конкурсная документация'!$B$8)^(N5-1))</f>
        <v>806.6471579661097</v>
      </c>
      <c r="O223" s="220">
        <f>O218/((1+'конкурсная документация'!$B$8)^(O5-1))</f>
        <v>767.7611841964956</v>
      </c>
      <c r="P223" s="220">
        <f>P218/((1+'конкурсная документация'!$B$8)^(P5-1))</f>
        <v>776.5082900402192</v>
      </c>
      <c r="Q223" s="220">
        <f>Q218/((1+'конкурсная документация'!$B$8)^(Q5-1))</f>
        <v>738.6416601646187</v>
      </c>
      <c r="R223" s="220">
        <f>R218/((1+'конкурсная документация'!$B$8)^(R5-1))</f>
        <v>697.8074312303632</v>
      </c>
      <c r="S223" s="220">
        <f>S218/((1+'конкурсная документация'!$B$8)^(S5-1))</f>
        <v>662.9569300112922</v>
      </c>
      <c r="T223" s="220">
        <f>T218/((1+'конкурсная документация'!$B$8)^(T5-1))</f>
        <v>639.9410206092607</v>
      </c>
      <c r="U223" s="220">
        <f>U218/((1+'конкурсная документация'!$B$8)^(U5-1))</f>
        <v>609.770318544768</v>
      </c>
      <c r="V223" s="220">
        <f>V218/((1+'конкурсная документация'!$B$8)^(V5-1))</f>
        <v>589.0286112802346</v>
      </c>
      <c r="W223" s="220">
        <f>W218/((1+'конкурсная документация'!$B$8)^(W5-1))</f>
        <v>559.0269630977007</v>
      </c>
      <c r="X223" s="220">
        <f>X218/((1+'конкурсная документация'!$B$8)^(X5-1))</f>
        <v>530.0766485169036</v>
      </c>
      <c r="Y223" s="220">
        <f>Y218/((1+'конкурсная документация'!$B$8)^(Y5-1))</f>
        <v>502.6254178273326</v>
      </c>
      <c r="Z223" s="220">
        <f>Z218/((1+'конкурсная документация'!$B$8)^(Z5-1))</f>
        <v>475.92684600037904</v>
      </c>
      <c r="AA223" s="220">
        <f>AA218/((1+'конкурсная документация'!$B$8)^(AA5-1))</f>
        <v>450.79996125686205</v>
      </c>
      <c r="AB223" s="220">
        <f>AB218/((1+'конкурсная документация'!$B$8)^(AB5-1))</f>
        <v>426.50912524650386</v>
      </c>
      <c r="AC223" s="220">
        <f>AC218/((1+'конкурсная документация'!$B$8)^(AC5-1))</f>
        <v>403.42017056063355</v>
      </c>
      <c r="AD223" s="220">
        <f>AD218/((1+'конкурсная документация'!$B$8)^(AD5-1))</f>
        <v>385.45918505319355</v>
      </c>
      <c r="AE223" s="220">
        <f>AE218/((1+'конкурсная документация'!$B$8)^(AE5-1))</f>
        <v>364.7107612329768</v>
      </c>
      <c r="AF223" s="220">
        <f>AF218/((1+'конкурсная документация'!$B$8)^(AF5-1))</f>
        <v>344.91738184066355</v>
      </c>
    </row>
    <row r="224" spans="1:32" s="16" customFormat="1" ht="30">
      <c r="A224" s="235" t="s">
        <v>111</v>
      </c>
      <c r="B224" s="220"/>
      <c r="C224" s="220">
        <f>SUM(C223*'основные условия'!$K$8,C157*'основные условия'!$K$6,C81*'основные условия'!$K$7)</f>
        <v>3716.069226598519</v>
      </c>
      <c r="D224" s="220">
        <f>SUM(D223*'основные условия'!$K$8,D157*'основные условия'!$K$6,D81*'основные условия'!$K$7)</f>
        <v>3847.071549510767</v>
      </c>
      <c r="E224" s="220">
        <f>SUM(E223*'основные условия'!$K$8,E157*'основные условия'!$K$6,E81*'основные условия'!$K$7)</f>
        <v>3844.715505289113</v>
      </c>
      <c r="F224" s="220">
        <f>SUM(F223*'основные условия'!$K$8,F157*'основные условия'!$K$6,F81*'основные условия'!$K$7)</f>
        <v>3539.165957839279</v>
      </c>
      <c r="G224" s="220">
        <f>SUM(G223*'основные условия'!$K$8,G157*'основные условия'!$K$6,G81*'основные условия'!$K$7)</f>
        <v>3398.2416862214477</v>
      </c>
      <c r="H224" s="220">
        <f>SUM(H223*'основные условия'!$K$8,H157*'основные условия'!$K$6,H81*'основные условия'!$K$7)</f>
        <v>3302.3239667586863</v>
      </c>
      <c r="I224" s="220">
        <f>SUM(I223*'основные условия'!$K$8,I157*'основные условия'!$K$6,I81*'основные условия'!$K$7)</f>
        <v>3224.2292225896053</v>
      </c>
      <c r="J224" s="220">
        <f>SUM(J223*'основные условия'!$K$8,J157*'основные условия'!$K$6,J81*'основные условия'!$K$7)</f>
        <v>3131.501305884054</v>
      </c>
      <c r="K224" s="220">
        <f>SUM(K223*'основные условия'!$K$8,K157*'основные условия'!$K$6,K81*'основные условия'!$K$7)</f>
        <v>3027.610908716762</v>
      </c>
      <c r="L224" s="220">
        <f>SUM(L223*'основные условия'!$K$8,L157*'основные условия'!$K$6,L81*'основные условия'!$K$7)</f>
        <v>2881.787094311505</v>
      </c>
      <c r="M224" s="220">
        <f>SUM(M223*'основные условия'!$K$8,M157*'основные условия'!$K$6,M81*'основные условия'!$K$7)</f>
        <v>2747.357478103061</v>
      </c>
      <c r="N224" s="220">
        <f>SUM(N223*'основные условия'!$K$8,N157*'основные условия'!$K$6,N81*'основные условия'!$K$7)</f>
        <v>2791.4360885033416</v>
      </c>
      <c r="O224" s="220">
        <f>SUM(O223*'основные условия'!$K$8,O157*'основные условия'!$K$6,O81*'основные условия'!$K$7)</f>
        <v>2740.4721812417074</v>
      </c>
      <c r="P224" s="220">
        <f>SUM(P223*'основные условия'!$K$8,P157*'основные условия'!$K$6,P81*'основные условия'!$K$7)</f>
        <v>2694.114688767441</v>
      </c>
      <c r="Q224" s="220">
        <f>SUM(Q223*'основные условия'!$K$8,Q157*'основные условия'!$K$6,Q81*'основные условия'!$K$7)</f>
        <v>2593.60799697711</v>
      </c>
      <c r="R224" s="220">
        <f>SUM(R223*'основные условия'!$K$8,R157*'основные условия'!$K$6,R81*'основные условия'!$K$7)</f>
        <v>2484.5569763066396</v>
      </c>
      <c r="S224" s="220">
        <f>SUM(S223*'основные условия'!$K$8,S157*'основные условия'!$K$6,S81*'основные условия'!$K$7)</f>
        <v>2383.062137223182</v>
      </c>
      <c r="T224" s="220">
        <f>SUM(T223*'основные условия'!$K$8,T157*'основные условия'!$K$6,T81*'основные условия'!$K$7)</f>
        <v>2298.556069412307</v>
      </c>
      <c r="U224" s="220">
        <f>SUM(U223*'основные условия'!$K$8,U157*'основные условия'!$K$6,U81*'основные условия'!$K$7)</f>
        <v>2215.5018464983277</v>
      </c>
      <c r="V224" s="220">
        <f>SUM(V223*'основные условия'!$K$8,V157*'основные условия'!$K$6,V81*'основные условия'!$K$7)</f>
        <v>2141.078236181249</v>
      </c>
      <c r="W224" s="220">
        <f>SUM(W223*'основные условия'!$K$8,W157*'основные условия'!$K$6,W81*'основные условия'!$K$7)</f>
        <v>2058.0989420262167</v>
      </c>
      <c r="X224" s="220">
        <f>SUM(X223*'основные условия'!$K$8,X157*'основные условия'!$K$6,X81*'основные условия'!$K$7)</f>
        <v>1977.0294469294176</v>
      </c>
      <c r="Y224" s="220">
        <f>SUM(Y223*'основные условия'!$K$8,Y157*'основные условия'!$K$6,Y81*'основные условия'!$K$7)</f>
        <v>1899.1463503527805</v>
      </c>
      <c r="Z224" s="220">
        <f>SUM(Z223*'основные условия'!$K$8,Z157*'основные условия'!$K$6,Z81*'основные условия'!$K$7)</f>
        <v>1823.0559977764724</v>
      </c>
      <c r="AA224" s="220">
        <f>SUM(AA223*'основные условия'!$K$8,AA157*'основные условия'!$K$6,AA81*'основные условия'!$K$7)</f>
        <v>1758.1703662024365</v>
      </c>
      <c r="AB224" s="220">
        <f>SUM(AB223*'основные условия'!$K$8,AB157*'основные условия'!$K$6,AB81*'основные условия'!$K$7)</f>
        <v>1695.2146090993358</v>
      </c>
      <c r="AC224" s="220">
        <f>SUM(AC223*'основные условия'!$K$8,AC157*'основные условия'!$K$6,AC81*'основные условия'!$K$7)</f>
        <v>1626.0444033094495</v>
      </c>
      <c r="AD224" s="220">
        <f>SUM(AD223*'основные условия'!$K$8,AD157*'основные условия'!$K$6,AD81*'основные условия'!$K$7)</f>
        <v>1563.1608871766878</v>
      </c>
      <c r="AE224" s="220">
        <f>SUM(AE223*'основные условия'!$K$8,AE157*'основные условия'!$K$6,AE81*'основные условия'!$K$7)</f>
        <v>1506.4930658728022</v>
      </c>
      <c r="AF224" s="220">
        <f>SUM(AF223*'основные условия'!$K$8,AF157*'основные условия'!$K$6,AF81*'основные условия'!$K$7)</f>
        <v>1444.3758840113999</v>
      </c>
    </row>
    <row r="225" spans="1:32" s="16" customFormat="1" ht="45">
      <c r="A225" s="235" t="s">
        <v>133</v>
      </c>
      <c r="B225" s="220">
        <f ca="1">SUM(OFFSET(C224,0,0,1,'основные условия'!$E$19))</f>
        <v>33912.71642371974</v>
      </c>
      <c r="C225" s="220"/>
      <c r="D225" s="220"/>
      <c r="E225" s="19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198"/>
      <c r="X225" s="199"/>
      <c r="Y225" s="199"/>
      <c r="Z225" s="199"/>
      <c r="AA225" s="199"/>
      <c r="AB225" s="199"/>
      <c r="AC225" s="199"/>
      <c r="AD225" s="199"/>
      <c r="AE225" s="199"/>
      <c r="AF225" s="199"/>
    </row>
  </sheetData>
  <sheetProtection formatCells="0" formatColumns="0" formatRows="0" sort="0" autoFilter="0"/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90" r:id="rId1"/>
  <colBreaks count="1" manualBreakCount="1">
    <brk id="10" max="1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0"/>
  <sheetViews>
    <sheetView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" sqref="C18"/>
    </sheetView>
  </sheetViews>
  <sheetFormatPr defaultColWidth="9.140625" defaultRowHeight="15"/>
  <cols>
    <col min="1" max="1" width="41.140625" style="3" customWidth="1"/>
    <col min="2" max="2" width="12.00390625" style="11" customWidth="1"/>
    <col min="3" max="3" width="12.28125" style="11" customWidth="1"/>
    <col min="4" max="13" width="10.8515625" style="11" customWidth="1"/>
    <col min="14" max="14" width="11.57421875" style="11" customWidth="1"/>
    <col min="15" max="21" width="10.8515625" style="11" customWidth="1"/>
    <col min="22" max="22" width="10.28125" style="11" customWidth="1"/>
    <col min="23" max="23" width="9.28125" style="8" customWidth="1"/>
    <col min="24" max="25" width="11.57421875" style="1" customWidth="1"/>
    <col min="26" max="26" width="11.57421875" style="58" customWidth="1"/>
    <col min="27" max="30" width="11.57421875" style="1" customWidth="1"/>
    <col min="31" max="31" width="11.57421875" style="58" customWidth="1"/>
    <col min="32" max="32" width="11.57421875" style="1" customWidth="1"/>
    <col min="33" max="16384" width="9.140625" style="31" customWidth="1"/>
  </cols>
  <sheetData>
    <row r="1" spans="1:22" ht="15" hidden="1">
      <c r="A1" s="2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hidden="1">
      <c r="A2" s="3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hidden="1">
      <c r="A3" s="4" t="s">
        <v>27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1" ht="15">
      <c r="A4" s="4"/>
      <c r="B4" s="8"/>
      <c r="C4" s="11" t="s">
        <v>29</v>
      </c>
      <c r="F4" s="8" t="s">
        <v>30</v>
      </c>
      <c r="G4" s="8"/>
      <c r="H4" s="8"/>
      <c r="I4" s="8"/>
      <c r="J4" s="8"/>
      <c r="K4" s="11" t="s">
        <v>31</v>
      </c>
      <c r="N4" s="8"/>
      <c r="O4" s="8"/>
      <c r="P4" s="8" t="s">
        <v>32</v>
      </c>
      <c r="Q4" s="8"/>
      <c r="R4" s="8"/>
      <c r="S4" s="8"/>
      <c r="T4" s="8"/>
      <c r="U4" s="11" t="s">
        <v>33</v>
      </c>
      <c r="Z4" s="11" t="s">
        <v>82</v>
      </c>
      <c r="AE4" s="11" t="s">
        <v>98</v>
      </c>
    </row>
    <row r="5" spans="1:33" ht="18.75" customHeight="1">
      <c r="A5" s="60" t="s">
        <v>100</v>
      </c>
      <c r="B5" s="12">
        <v>0</v>
      </c>
      <c r="C5" s="13">
        <v>1</v>
      </c>
      <c r="D5" s="13">
        <v>2</v>
      </c>
      <c r="E5" s="13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85">
        <v>24</v>
      </c>
      <c r="AA5" s="86">
        <v>25</v>
      </c>
      <c r="AB5" s="86">
        <v>26</v>
      </c>
      <c r="AC5" s="86">
        <v>27</v>
      </c>
      <c r="AD5" s="86">
        <v>28</v>
      </c>
      <c r="AE5" s="59">
        <v>29</v>
      </c>
      <c r="AF5" s="13">
        <v>30</v>
      </c>
      <c r="AG5" s="31">
        <v>31</v>
      </c>
    </row>
    <row r="6" spans="1:32" s="157" customFormat="1" ht="48.75" customHeight="1">
      <c r="A6" s="179" t="s">
        <v>232</v>
      </c>
      <c r="B6" s="180"/>
      <c r="C6" s="181"/>
      <c r="D6" s="181"/>
      <c r="E6" s="181"/>
      <c r="F6" s="180"/>
      <c r="G6" s="180"/>
      <c r="H6" s="180"/>
      <c r="I6" s="180"/>
      <c r="J6" s="180"/>
      <c r="K6" s="181"/>
      <c r="L6" s="181"/>
      <c r="M6" s="181"/>
      <c r="N6" s="181"/>
      <c r="O6" s="181"/>
      <c r="P6" s="180"/>
      <c r="Q6" s="180"/>
      <c r="R6" s="180"/>
      <c r="S6" s="180"/>
      <c r="T6" s="180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1:55" s="170" customFormat="1" ht="121.5" customHeight="1">
      <c r="A7" s="182" t="s">
        <v>57</v>
      </c>
      <c r="B7" s="183">
        <f>'расчет индексация'!B7</f>
        <v>1</v>
      </c>
      <c r="C7" s="183">
        <f>'расчет индексация'!C7</f>
        <v>1.07</v>
      </c>
      <c r="D7" s="183">
        <f>'расчет индексация'!D7</f>
        <v>1.1449</v>
      </c>
      <c r="E7" s="183">
        <f>'расчет индексация'!E7</f>
        <v>1.225043</v>
      </c>
      <c r="F7" s="183">
        <f>'расчет индексация'!F7</f>
        <v>1.3107960100000002</v>
      </c>
      <c r="G7" s="183">
        <f>'расчет индексация'!G7</f>
        <v>1.4025517307000004</v>
      </c>
      <c r="H7" s="183">
        <f>'расчет индексация'!H7</f>
        <v>1.5007303518490005</v>
      </c>
      <c r="I7" s="183">
        <f>'расчет индексация'!I7</f>
        <v>1.6057814764784306</v>
      </c>
      <c r="J7" s="183">
        <f>'расчет индексация'!J7</f>
        <v>1.718186179831921</v>
      </c>
      <c r="K7" s="183">
        <f>'расчет индексация'!K7</f>
        <v>1.8384592124201555</v>
      </c>
      <c r="L7" s="183">
        <f>'расчет индексация'!L7</f>
        <v>1.9671513572895665</v>
      </c>
      <c r="M7" s="183">
        <f>'расчет индексация'!M7</f>
        <v>2.1048519522998363</v>
      </c>
      <c r="N7" s="183">
        <f>'расчет индексация'!N7</f>
        <v>2.252191588960825</v>
      </c>
      <c r="O7" s="183">
        <f>'расчет индексация'!O7</f>
        <v>2.4098450001880827</v>
      </c>
      <c r="P7" s="183">
        <f>'расчет индексация'!P7</f>
        <v>2.5785341502012487</v>
      </c>
      <c r="Q7" s="183">
        <f>'расчет индексация'!Q7</f>
        <v>2.7590315407153363</v>
      </c>
      <c r="R7" s="183">
        <f>'расчет индексация'!R7</f>
        <v>2.95216374856541</v>
      </c>
      <c r="S7" s="183">
        <f>'расчет индексация'!S7</f>
        <v>3.158815210964989</v>
      </c>
      <c r="T7" s="183">
        <f>'расчет индексация'!T7</f>
        <v>3.3799322757325387</v>
      </c>
      <c r="U7" s="183">
        <f>'расчет индексация'!U7</f>
        <v>3.616527535033817</v>
      </c>
      <c r="V7" s="183">
        <f>'расчет индексация'!V7</f>
        <v>3.8696844624861844</v>
      </c>
      <c r="W7" s="183">
        <f>'расчет индексация'!W7</f>
        <v>4.140562374860218</v>
      </c>
      <c r="X7" s="183">
        <f>'расчет индексация'!X7</f>
        <v>4.430401741100433</v>
      </c>
      <c r="Y7" s="183">
        <f>'расчет индексация'!Y7</f>
        <v>4.740529862977464</v>
      </c>
      <c r="Z7" s="183">
        <f>'расчет индексация'!Z7</f>
        <v>5.072366953385887</v>
      </c>
      <c r="AA7" s="183">
        <f>'расчет индексация'!AA7</f>
        <v>5.4274326401229</v>
      </c>
      <c r="AB7" s="183">
        <f>'расчет индексация'!AB7</f>
        <v>5.807352924931504</v>
      </c>
      <c r="AC7" s="183">
        <f>'расчет индексация'!AC7</f>
        <v>6.2138676296767095</v>
      </c>
      <c r="AD7" s="183">
        <f>'расчет индексация'!AD7</f>
        <v>6.64883836375408</v>
      </c>
      <c r="AE7" s="183">
        <f>'расчет индексация'!AE7</f>
        <v>7.1142570492168655</v>
      </c>
      <c r="AF7" s="183">
        <f>'расчет индексация'!AF7</f>
        <v>7.6122550426620466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</row>
    <row r="8" spans="1:55" s="170" customFormat="1" ht="18" customHeight="1">
      <c r="A8" s="182" t="s">
        <v>231</v>
      </c>
      <c r="B8" s="183">
        <f>'расчет индексация'!B8</f>
        <v>1</v>
      </c>
      <c r="C8" s="183">
        <f>'расчет индексация'!C8</f>
        <v>1.1</v>
      </c>
      <c r="D8" s="183">
        <f>'расчет индексация'!D8</f>
        <v>1.2210000000000003</v>
      </c>
      <c r="E8" s="183">
        <f>'расчет индексация'!E8</f>
        <v>1.2820500000000004</v>
      </c>
      <c r="F8" s="183">
        <f>'расчет индексация'!F8</f>
        <v>1.3717935000000006</v>
      </c>
      <c r="G8" s="183">
        <f>'расчет индексация'!G8</f>
        <v>1.4678190450000006</v>
      </c>
      <c r="H8" s="183">
        <f>'расчет индексация'!H8</f>
        <v>1.5705663781500008</v>
      </c>
      <c r="I8" s="183">
        <f>'расчет индексация'!I8</f>
        <v>1.680506024620501</v>
      </c>
      <c r="J8" s="183">
        <f>'расчет индексация'!J8</f>
        <v>1.7981414463439362</v>
      </c>
      <c r="K8" s="183">
        <f>'расчет индексация'!K8</f>
        <v>1.9240113475880118</v>
      </c>
      <c r="L8" s="183">
        <f>'расчет индексация'!L8</f>
        <v>2.0586921419191726</v>
      </c>
      <c r="M8" s="183">
        <f>'расчет индексация'!M8</f>
        <v>2.202800591853515</v>
      </c>
      <c r="N8" s="183">
        <f>'расчет индексация'!N8</f>
        <v>2.356996633283261</v>
      </c>
      <c r="O8" s="183">
        <f>'расчет индексация'!O8</f>
        <v>2.5219863976130896</v>
      </c>
      <c r="P8" s="183">
        <f>'расчет индексация'!P8</f>
        <v>2.698525445446006</v>
      </c>
      <c r="Q8" s="183">
        <f>'расчет индексация'!Q8</f>
        <v>2.8874222266272267</v>
      </c>
      <c r="R8" s="183">
        <f>'расчет индексация'!R8</f>
        <v>3.089541782491133</v>
      </c>
      <c r="S8" s="183">
        <f>'расчет индексация'!S8</f>
        <v>3.3058097072655124</v>
      </c>
      <c r="T8" s="183">
        <f>'расчет индексация'!T8</f>
        <v>3.5372163867740984</v>
      </c>
      <c r="U8" s="183">
        <f>'расчет индексация'!U8</f>
        <v>3.7848215338482856</v>
      </c>
      <c r="V8" s="183">
        <f>'расчет индексация'!V8</f>
        <v>4.049759041217666</v>
      </c>
      <c r="W8" s="183">
        <f>'расчет индексация'!W8</f>
        <v>4.333242174102902</v>
      </c>
      <c r="X8" s="183">
        <f>'расчет индексация'!X8</f>
        <v>4.636569126290105</v>
      </c>
      <c r="Y8" s="183">
        <f>'расчет индексация'!Y8</f>
        <v>4.9611289651304125</v>
      </c>
      <c r="Z8" s="183">
        <f>'расчет индексация'!Z8</f>
        <v>5.308407992689542</v>
      </c>
      <c r="AA8" s="183">
        <f>'расчет индексация'!AA8</f>
        <v>5.67999655217781</v>
      </c>
      <c r="AB8" s="183">
        <f>'расчет индексация'!AB8</f>
        <v>6.077596310830257</v>
      </c>
      <c r="AC8" s="183">
        <f>'расчет индексация'!AC8</f>
        <v>6.503028052588376</v>
      </c>
      <c r="AD8" s="183">
        <f>'расчет индексация'!AD8</f>
        <v>6.958240016269563</v>
      </c>
      <c r="AE8" s="183">
        <f>'расчет индексация'!AE8</f>
        <v>7.4453168174084325</v>
      </c>
      <c r="AF8" s="183">
        <f>'расчет индексация'!AF8</f>
        <v>7.966488994627023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</row>
    <row r="9" spans="1:55" s="170" customFormat="1" ht="19.5" customHeight="1">
      <c r="A9" s="182" t="s">
        <v>54</v>
      </c>
      <c r="B9" s="183">
        <f>'расчет индексация'!B9</f>
        <v>1</v>
      </c>
      <c r="C9" s="183">
        <f>'расчет индексация'!C9</f>
        <v>1.1</v>
      </c>
      <c r="D9" s="183">
        <f>'расчет индексация'!D9</f>
        <v>1.2100000000000002</v>
      </c>
      <c r="E9" s="183">
        <f>'расчет индексация'!E9</f>
        <v>1.2947000000000002</v>
      </c>
      <c r="F9" s="183">
        <f>'расчет индексация'!F9</f>
        <v>1.3723820000000002</v>
      </c>
      <c r="G9" s="183">
        <f>'расчет индексация'!G9</f>
        <v>1.4547249200000003</v>
      </c>
      <c r="H9" s="183">
        <f>'расчет индексация'!H9</f>
        <v>1.5420084152000004</v>
      </c>
      <c r="I9" s="183">
        <f>'расчет индексация'!I9</f>
        <v>1.6345289201120006</v>
      </c>
      <c r="J9" s="183">
        <f>'расчет индексация'!J9</f>
        <v>1.7326006553187208</v>
      </c>
      <c r="K9" s="183">
        <f>'расчет индексация'!K9</f>
        <v>1.836556694637844</v>
      </c>
      <c r="L9" s="183">
        <f>'расчет индексация'!L9</f>
        <v>1.9467500963161146</v>
      </c>
      <c r="M9" s="183">
        <f>'расчет индексация'!M9</f>
        <v>2.0635551020950818</v>
      </c>
      <c r="N9" s="183">
        <f>'расчет индексация'!N9</f>
        <v>2.1873684082207867</v>
      </c>
      <c r="O9" s="183">
        <f>'расчет индексация'!O9</f>
        <v>2.318610512714034</v>
      </c>
      <c r="P9" s="183">
        <f>'расчет индексация'!P9</f>
        <v>2.457727143476876</v>
      </c>
      <c r="Q9" s="183">
        <f>'расчет индексация'!Q9</f>
        <v>2.6051907720854888</v>
      </c>
      <c r="R9" s="183">
        <f>'расчет индексация'!R9</f>
        <v>2.761502218410618</v>
      </c>
      <c r="S9" s="183">
        <f>'расчет индексация'!S9</f>
        <v>2.9271923515152554</v>
      </c>
      <c r="T9" s="183">
        <f>'расчет индексация'!T9</f>
        <v>3.1028238926061706</v>
      </c>
      <c r="U9" s="183">
        <f>'расчет индексация'!U9</f>
        <v>3.288993326162541</v>
      </c>
      <c r="V9" s="183">
        <f>'расчет индексация'!V9</f>
        <v>3.4863329257322935</v>
      </c>
      <c r="W9" s="183">
        <f>'расчет индексация'!W9</f>
        <v>3.6955129012762313</v>
      </c>
      <c r="X9" s="183">
        <f>'расчет индексация'!X9</f>
        <v>3.9172436753528053</v>
      </c>
      <c r="Y9" s="183">
        <f>'расчет индексация'!Y9</f>
        <v>4.152278295873974</v>
      </c>
      <c r="Z9" s="183">
        <f>'расчет индексация'!Z9</f>
        <v>4.401414993626413</v>
      </c>
      <c r="AA9" s="183">
        <f>'расчет индексация'!AA9</f>
        <v>4.665499893243998</v>
      </c>
      <c r="AB9" s="183">
        <f>'расчет индексация'!AB9</f>
        <v>4.945429886838639</v>
      </c>
      <c r="AC9" s="183">
        <f>'расчет индексация'!AC9</f>
        <v>5.242155680048957</v>
      </c>
      <c r="AD9" s="183">
        <f>'расчет индексация'!AD9</f>
        <v>5.556685020851894</v>
      </c>
      <c r="AE9" s="183">
        <f>'расчет индексация'!AE9</f>
        <v>5.890086122103008</v>
      </c>
      <c r="AF9" s="183">
        <f>'расчет индексация'!AF9</f>
        <v>6.243491289429189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</row>
    <row r="10" spans="1:55" s="170" customFormat="1" ht="19.5" customHeight="1">
      <c r="A10" s="182" t="s">
        <v>55</v>
      </c>
      <c r="B10" s="183">
        <f>'расчет индексация'!B10</f>
        <v>1</v>
      </c>
      <c r="C10" s="183">
        <f>'расчет индексация'!C10</f>
        <v>1.0972</v>
      </c>
      <c r="D10" s="183">
        <f>'расчет индексация'!D10</f>
        <v>1.190462</v>
      </c>
      <c r="E10" s="183">
        <f>'расчет индексация'!E10</f>
        <v>1.280937112</v>
      </c>
      <c r="F10" s="183">
        <f>'расчет индексация'!F10</f>
        <v>1.35138865316</v>
      </c>
      <c r="G10" s="183">
        <f>'расчет индексация'!G10</f>
        <v>1.4392289156154</v>
      </c>
      <c r="H10" s="183">
        <f>'расчет индексация'!H10</f>
        <v>1.5327787951304008</v>
      </c>
      <c r="I10" s="183">
        <f>'расчет индексация'!I10</f>
        <v>1.6324094168138767</v>
      </c>
      <c r="J10" s="183">
        <f>'расчет индексация'!J10</f>
        <v>1.7385160289067787</v>
      </c>
      <c r="K10" s="183">
        <f>'расчет индексация'!K10</f>
        <v>1.8515195707857193</v>
      </c>
      <c r="L10" s="183">
        <f>'расчет индексация'!L10</f>
        <v>1.971868342886791</v>
      </c>
      <c r="M10" s="183">
        <f>'расчет индексация'!M10</f>
        <v>2.1000397851744323</v>
      </c>
      <c r="N10" s="183">
        <f>'расчет индексация'!N10</f>
        <v>2.23654237121077</v>
      </c>
      <c r="O10" s="183">
        <f>'расчет индексация'!O10</f>
        <v>2.38191762533947</v>
      </c>
      <c r="P10" s="183">
        <f>'расчет индексация'!P10</f>
        <v>2.5367422709865353</v>
      </c>
      <c r="Q10" s="183">
        <f>'расчет индексация'!Q10</f>
        <v>2.70163051860066</v>
      </c>
      <c r="R10" s="183">
        <f>'расчет индексация'!R10</f>
        <v>2.8772365023097026</v>
      </c>
      <c r="S10" s="183">
        <f>'расчет индексация'!S10</f>
        <v>3.0642568749598333</v>
      </c>
      <c r="T10" s="183">
        <f>'расчет индексация'!T10</f>
        <v>3.2634335718322225</v>
      </c>
      <c r="U10" s="183">
        <f>'расчет индексация'!U10</f>
        <v>3.4755567540013166</v>
      </c>
      <c r="V10" s="183">
        <f>'расчет индексация'!V10</f>
        <v>3.701467943011402</v>
      </c>
      <c r="W10" s="183">
        <f>'расчет индексация'!W10</f>
        <v>3.942063359307143</v>
      </c>
      <c r="X10" s="183">
        <f>'расчет индексация'!X10</f>
        <v>4.1982974776621065</v>
      </c>
      <c r="Y10" s="183">
        <f>'расчет индексация'!Y10</f>
        <v>4.471186813710143</v>
      </c>
      <c r="Z10" s="183">
        <f>'расчет индексация'!Z10</f>
        <v>4.761813956601302</v>
      </c>
      <c r="AA10" s="183">
        <f>'расчет индексация'!AA10</f>
        <v>5.071331863780387</v>
      </c>
      <c r="AB10" s="183">
        <f>'расчет индексация'!AB10</f>
        <v>5.400968434926112</v>
      </c>
      <c r="AC10" s="183">
        <f>'расчет индексация'!AC10</f>
        <v>5.752031383196309</v>
      </c>
      <c r="AD10" s="183">
        <f>'расчет индексация'!AD10</f>
        <v>6.125913423104069</v>
      </c>
      <c r="AE10" s="183">
        <f>'расчет индексация'!AE10</f>
        <v>6.524097795605833</v>
      </c>
      <c r="AF10" s="183">
        <f>'расчет индексация'!AF10</f>
        <v>6.948164152320212</v>
      </c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</row>
    <row r="11" spans="1:55" s="170" customFormat="1" ht="19.5" customHeight="1">
      <c r="A11" s="182" t="s">
        <v>56</v>
      </c>
      <c r="B11" s="183">
        <f>'расчет индексация'!B11</f>
        <v>1</v>
      </c>
      <c r="C11" s="183">
        <f>'расчет индексация'!C11</f>
        <v>1.01</v>
      </c>
      <c r="D11" s="183">
        <f>'расчет индексация'!D11</f>
        <v>1.0908</v>
      </c>
      <c r="E11" s="183">
        <f>'расчет индексация'!E11</f>
        <v>1.178064</v>
      </c>
      <c r="F11" s="183">
        <f>'расчет индексация'!F11</f>
        <v>1.26052848</v>
      </c>
      <c r="G11" s="183">
        <f>'расчет индексация'!G11</f>
        <v>1.3361601888</v>
      </c>
      <c r="H11" s="183">
        <f>'расчет индексация'!H11</f>
        <v>1.4163298001280002</v>
      </c>
      <c r="I11" s="183">
        <f>'расчет индексация'!I11</f>
        <v>1.5013095881356804</v>
      </c>
      <c r="J11" s="183">
        <f>'расчет индексация'!J11</f>
        <v>1.5913881634238214</v>
      </c>
      <c r="K11" s="183">
        <f>'расчет индексация'!K11</f>
        <v>1.6868714532292508</v>
      </c>
      <c r="L11" s="183">
        <f>'расчет индексация'!L11</f>
        <v>1.7880837404230059</v>
      </c>
      <c r="M11" s="183">
        <f>'расчет индексация'!M11</f>
        <v>1.8953687648483863</v>
      </c>
      <c r="N11" s="183">
        <f>'расчет индексация'!N11</f>
        <v>2.0090908907392895</v>
      </c>
      <c r="O11" s="183">
        <f>'расчет индексация'!O11</f>
        <v>2.129636344183647</v>
      </c>
      <c r="P11" s="183">
        <f>'расчет индексация'!P11</f>
        <v>2.2574145248346658</v>
      </c>
      <c r="Q11" s="183">
        <f>'расчет индексация'!Q11</f>
        <v>2.392859396324746</v>
      </c>
      <c r="R11" s="183">
        <f>'расчет индексация'!R11</f>
        <v>2.536430960104231</v>
      </c>
      <c r="S11" s="183">
        <f>'расчет индексация'!S11</f>
        <v>2.6886168177104848</v>
      </c>
      <c r="T11" s="183">
        <f>'расчет индексация'!T11</f>
        <v>2.849933826773114</v>
      </c>
      <c r="U11" s="183">
        <f>'расчет индексация'!U11</f>
        <v>3.020929856379501</v>
      </c>
      <c r="V11" s="183">
        <f>'расчет индексация'!V11</f>
        <v>3.202185647762271</v>
      </c>
      <c r="W11" s="183">
        <f>'расчет индексация'!W11</f>
        <v>3.3943167866280075</v>
      </c>
      <c r="X11" s="183">
        <f>'расчет индексация'!X11</f>
        <v>3.597975793825688</v>
      </c>
      <c r="Y11" s="183">
        <f>'расчет индексация'!Y11</f>
        <v>3.8138543414552295</v>
      </c>
      <c r="Z11" s="183">
        <f>'расчет индексация'!Z11</f>
        <v>4.0426856019425434</v>
      </c>
      <c r="AA11" s="183">
        <f>'расчет индексация'!AA11</f>
        <v>4.285246738059096</v>
      </c>
      <c r="AB11" s="183">
        <f>'расчет индексация'!AB11</f>
        <v>4.5423615423426424</v>
      </c>
      <c r="AC11" s="183">
        <f>'расчет индексация'!AC11</f>
        <v>4.814903234883201</v>
      </c>
      <c r="AD11" s="183">
        <f>'расчет индексация'!AD11</f>
        <v>5.103797428976193</v>
      </c>
      <c r="AE11" s="183">
        <f>'расчет индексация'!AE11</f>
        <v>5.410025274714766</v>
      </c>
      <c r="AF11" s="183">
        <f>'расчет индексация'!AF11</f>
        <v>5.734626791197652</v>
      </c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</row>
    <row r="12" spans="1:32" s="170" customFormat="1" ht="15">
      <c r="A12" s="184" t="s">
        <v>191</v>
      </c>
      <c r="B12" s="183">
        <f>'расчет индексация'!B12</f>
        <v>1</v>
      </c>
      <c r="C12" s="183">
        <f>'расчет индексация'!C12</f>
        <v>1.1</v>
      </c>
      <c r="D12" s="183">
        <f>'расчет индексация'!D12</f>
        <v>1.2100000000000002</v>
      </c>
      <c r="E12" s="183">
        <f>'расчет индексация'!E12</f>
        <v>1.2826000000000002</v>
      </c>
      <c r="F12" s="183">
        <f>'расчет индексация'!F12</f>
        <v>1.3723820000000002</v>
      </c>
      <c r="G12" s="183">
        <f>'расчет индексация'!G12</f>
        <v>1.4684487400000004</v>
      </c>
      <c r="H12" s="183">
        <f>'расчет индексация'!H12</f>
        <v>1.5712401518000005</v>
      </c>
      <c r="I12" s="183">
        <f>'расчет индексация'!I12</f>
        <v>1.6812269624260008</v>
      </c>
      <c r="J12" s="183">
        <f>'расчет индексация'!J12</f>
        <v>1.798912849795821</v>
      </c>
      <c r="K12" s="183">
        <f>'расчет индексация'!K12</f>
        <v>1.9248367492815284</v>
      </c>
      <c r="L12" s="183">
        <f>'расчет индексация'!L12</f>
        <v>2.0595753217312356</v>
      </c>
      <c r="M12" s="183">
        <f>'расчет индексация'!M12</f>
        <v>2.203745594252422</v>
      </c>
      <c r="N12" s="183">
        <f>'расчет индексация'!N12</f>
        <v>2.358007785850092</v>
      </c>
      <c r="O12" s="183">
        <f>'расчет индексация'!O12</f>
        <v>2.5230683308595983</v>
      </c>
      <c r="P12" s="183">
        <f>'расчет индексация'!P12</f>
        <v>2.6996831140197703</v>
      </c>
      <c r="Q12" s="183">
        <f>'расчет индексация'!Q12</f>
        <v>2.8886609320011543</v>
      </c>
      <c r="R12" s="183">
        <f>'расчет индексация'!R12</f>
        <v>3.090867197241235</v>
      </c>
      <c r="S12" s="183">
        <f>'расчет индексация'!S12</f>
        <v>3.3072279010481216</v>
      </c>
      <c r="T12" s="183">
        <f>'расчет индексация'!T12</f>
        <v>3.53873385412149</v>
      </c>
      <c r="U12" s="183">
        <f>'расчет индексация'!U12</f>
        <v>3.7864452239099946</v>
      </c>
      <c r="V12" s="183">
        <f>'расчет индексация'!V12</f>
        <v>4.051496389583694</v>
      </c>
      <c r="W12" s="183">
        <f>'расчет индексация'!W12</f>
        <v>4.335101136854553</v>
      </c>
      <c r="X12" s="183">
        <f>'расчет индексация'!X12</f>
        <v>4.638558216434372</v>
      </c>
      <c r="Y12" s="183">
        <f>'расчет индексация'!Y12</f>
        <v>4.963257291584779</v>
      </c>
      <c r="Z12" s="183">
        <f>'расчет индексация'!Z12</f>
        <v>5.310685301995714</v>
      </c>
      <c r="AA12" s="183">
        <f>'расчет индексация'!AA12</f>
        <v>5.682433273135414</v>
      </c>
      <c r="AB12" s="183">
        <f>'расчет индексация'!AB12</f>
        <v>6.080203602254894</v>
      </c>
      <c r="AC12" s="183">
        <f>'расчет индексация'!AC12</f>
        <v>6.5058178544127365</v>
      </c>
      <c r="AD12" s="183">
        <f>'расчет индексация'!AD12</f>
        <v>6.961225104221628</v>
      </c>
      <c r="AE12" s="183">
        <f>'расчет индексация'!AE12</f>
        <v>7.448510861517143</v>
      </c>
      <c r="AF12" s="183">
        <f>'расчет индексация'!AF12</f>
        <v>7.969906621823343</v>
      </c>
    </row>
    <row r="13" spans="1:32" s="66" customFormat="1" ht="13.5" customHeight="1">
      <c r="A13" s="62" t="s">
        <v>106</v>
      </c>
      <c r="B13" s="63"/>
      <c r="C13" s="64"/>
      <c r="D13" s="64"/>
      <c r="E13" s="64"/>
      <c r="F13" s="63"/>
      <c r="G13" s="63"/>
      <c r="H13" s="63"/>
      <c r="I13" s="63"/>
      <c r="J13" s="63"/>
      <c r="K13" s="64"/>
      <c r="L13" s="64"/>
      <c r="M13" s="64"/>
      <c r="N13" s="64"/>
      <c r="O13" s="64"/>
      <c r="P13" s="63"/>
      <c r="Q13" s="63"/>
      <c r="R13" s="63"/>
      <c r="S13" s="63"/>
      <c r="T13" s="63"/>
      <c r="U13" s="64"/>
      <c r="V13" s="64"/>
      <c r="W13" s="65"/>
      <c r="Z13" s="67"/>
      <c r="AE13" s="67"/>
      <c r="AF13" s="68"/>
    </row>
    <row r="14" spans="1:32" s="236" customFormat="1" ht="15">
      <c r="A14" s="177" t="s">
        <v>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s="16" customFormat="1" ht="15">
      <c r="A15" s="185" t="s">
        <v>25</v>
      </c>
      <c r="B15" s="186"/>
      <c r="C15" s="187">
        <f>'конкурсная документация'!$B$7</f>
        <v>20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8"/>
      <c r="Y15" s="188"/>
      <c r="Z15" s="188"/>
      <c r="AA15" s="188"/>
      <c r="AB15" s="188"/>
      <c r="AC15" s="188"/>
      <c r="AD15" s="188"/>
      <c r="AE15" s="188"/>
      <c r="AF15" s="188"/>
    </row>
    <row r="16" spans="1:32" s="170" customFormat="1" ht="31.5" customHeight="1">
      <c r="A16" s="182" t="s">
        <v>14</v>
      </c>
      <c r="B16" s="189"/>
      <c r="C16" s="190">
        <f>MAX(('конкурсные предложения'!B14-'конкурсная документация'!C40),0)*C8</f>
        <v>165</v>
      </c>
      <c r="D16" s="190">
        <f>MAX(('конкурсные предложения'!C14-'конкурсная документация'!D40),0)*D8</f>
        <v>499.14089280000013</v>
      </c>
      <c r="E16" s="190">
        <f>MAX(('конкурсные предложения'!D14-'конкурсная документация'!E40),0)*E8</f>
        <v>543.7873350000002</v>
      </c>
      <c r="F16" s="190">
        <f>MAX(('конкурсные предложения'!E14-'конкурсная документация'!F40),0)*F8</f>
        <v>390.1499712954219</v>
      </c>
      <c r="G16" s="190">
        <f>MAX(('конкурсные предложения'!F14-'конкурсная документация'!G40),0)*G8</f>
        <v>135.8798460329876</v>
      </c>
      <c r="H16" s="190">
        <f>MAX(('конкурсные предложения'!G14-'конкурсная документация'!H40),0)*H8</f>
        <v>145.66846726427096</v>
      </c>
      <c r="I16" s="190">
        <f>MAX(('конкурсные предложения'!H14-'конкурсная документация'!I40),0)*I8</f>
        <v>154.9558246824689</v>
      </c>
      <c r="J16" s="190">
        <f>MAX(('конкурсные предложения'!I14-'конкурсная документация'!J40),0)*J8</f>
        <v>166.18899898474768</v>
      </c>
      <c r="K16" s="190">
        <f>MAX(('конкурсные предложения'!J14-'конкурсная документация'!K40),0)*K8</f>
        <v>176.94656123334374</v>
      </c>
      <c r="L16" s="190">
        <f>MAX(('конкурсные предложения'!K14-'конкурсная документация'!L40),0)*L8</f>
        <v>189.76195646944944</v>
      </c>
      <c r="M16" s="190">
        <f>MAX(('конкурсные предложения'!L14-'конкурсная документация'!M40),0)*M8</f>
        <v>203.47423091853568</v>
      </c>
      <c r="N16" s="190">
        <f>MAX(('конкурсные предложения'!M14-'конкурсная документация'!N40),0)*N8</f>
        <v>569.0532054383141</v>
      </c>
      <c r="O16" s="190">
        <f>MAX(('конкурсные предложения'!N14-'конкурсная документация'!O40),0)*O8</f>
        <v>787.9586340756478</v>
      </c>
      <c r="P16" s="190">
        <f>MAX(('конкурсные предложения'!O14-'конкурсная документация'!P40),0)*P8</f>
        <v>818.9291580461</v>
      </c>
      <c r="Q16" s="190">
        <f>MAX(('конкурсные предложения'!P14-'конкурсная документация'!Q40),0)*Q8</f>
        <v>852.7412198117831</v>
      </c>
      <c r="R16" s="190">
        <f>MAX(('конкурсные предложения'!Q14-'конкурсная документация'!R40),0)*R8</f>
        <v>887.8507751352516</v>
      </c>
      <c r="S16" s="190">
        <f>MAX(('конкурсные предложения'!R14-'конкурсная документация'!S40),0)*S8</f>
        <v>924.5881899459025</v>
      </c>
      <c r="T16" s="190">
        <f>MAX(('конкурсные предложения'!S14-'конкурсная документация'!T40),0)*T8</f>
        <v>962.6602914114413</v>
      </c>
      <c r="U16" s="190">
        <f>MAX(('конкурсные предложения'!T14-'конкурсная документация'!U40),0)*U8</f>
        <v>1002.4370176792461</v>
      </c>
      <c r="V16" s="190">
        <f>MAX(('конкурсные предложения'!U14-'конкурсная документация'!V40),0)*V8</f>
        <v>1044.00883952767</v>
      </c>
      <c r="W16" s="190">
        <f>MAX(('конкурсные предложения'!V14-'конкурсная документация'!W40),0)*W8</f>
        <v>1086.9854462231738</v>
      </c>
      <c r="X16" s="190">
        <f>MAX(('конкурсные предложения'!W14-'конкурсная документация'!X40),0)*X8</f>
        <v>1131.877231000923</v>
      </c>
      <c r="Y16" s="190">
        <f>MAX(('конкурсные предложения'!X14-'конкурсная документация'!Y40),0)*Y8</f>
        <v>1178.5990896051826</v>
      </c>
      <c r="Z16" s="190">
        <f>MAX(('конкурсные предложения'!Y14-'конкурсная документация'!Z40),0)*Z8</f>
        <v>1227.234540345424</v>
      </c>
      <c r="AA16" s="190">
        <f>MAX(('конкурсные предложения'!Z14-'конкурсная документация'!AA40),0)*AA8</f>
        <v>1406.9272670384944</v>
      </c>
      <c r="AB16" s="190">
        <f>MAX(('конкурсные предложения'!AA14-'конкурсная документация'!AB40),0)*AB8</f>
        <v>1596.7607967086806</v>
      </c>
      <c r="AC16" s="190">
        <f>MAX(('конкурсные предложения'!AB14-'конкурсная документация'!AC40),0)*AC8</f>
        <v>1662.7054057931684</v>
      </c>
      <c r="AD16" s="190">
        <f>MAX(('конкурсные предложения'!AC14-'конкурсная документация'!AD40),0)*AD8</f>
        <v>1731.341559810753</v>
      </c>
      <c r="AE16" s="190">
        <f>MAX(('конкурсные предложения'!AD14-'конкурсная документация'!AE40),0)*AE8</f>
        <v>1954.4996699760627</v>
      </c>
      <c r="AF16" s="190">
        <f>MAX(('конкурсные предложения'!AE14-'конкурсная документация'!AF40),0)*AF8</f>
        <v>2053.4647509068127</v>
      </c>
    </row>
    <row r="17" spans="1:32" s="16" customFormat="1" ht="59.25" customHeight="1">
      <c r="A17" s="99" t="s">
        <v>134</v>
      </c>
      <c r="B17" s="191"/>
      <c r="C17" s="192">
        <f>IF('конкурсные предложения'!B14-'конкурсная документация'!C40&lt;0,"ошибка","")</f>
      </c>
      <c r="D17" s="192">
        <f>IF('конкурсные предложения'!C14-'конкурсная документация'!D40&lt;0,"ошибка","")</f>
      </c>
      <c r="E17" s="192">
        <f>IF('конкурсные предложения'!D14-'конкурсная документация'!E40&lt;0,"ошибка","")</f>
      </c>
      <c r="F17" s="192">
        <f>IF('конкурсные предложения'!E14-'конкурсная документация'!F40&lt;0,"ошибка","")</f>
      </c>
      <c r="G17" s="192">
        <f>IF('конкурсные предложения'!F14-'конкурсная документация'!G40&lt;0,"ошибка","")</f>
      </c>
      <c r="H17" s="192">
        <f>IF('конкурсные предложения'!G14-'конкурсная документация'!H40&lt;0,"ошибка","")</f>
      </c>
      <c r="I17" s="192">
        <f>IF('конкурсные предложения'!H14-'конкурсная документация'!I40&lt;0,"ошибка","")</f>
      </c>
      <c r="J17" s="192">
        <f>IF('конкурсные предложения'!I14-'конкурсная документация'!J40&lt;0,"ошибка","")</f>
      </c>
      <c r="K17" s="192">
        <f>IF('конкурсные предложения'!J14-'конкурсная документация'!K40&lt;0,"ошибка","")</f>
      </c>
      <c r="L17" s="192">
        <f>IF('конкурсные предложения'!K14-'конкурсная документация'!L40&lt;0,"ошибка","")</f>
      </c>
      <c r="M17" s="192">
        <f>IF('конкурсные предложения'!L14-'конкурсная документация'!M40&lt;0,"ошибка","")</f>
      </c>
      <c r="N17" s="192">
        <f>IF('конкурсные предложения'!M14-'конкурсная документация'!N40&lt;0,"ошибка","")</f>
      </c>
      <c r="O17" s="192">
        <f>IF('конкурсные предложения'!N14-'конкурсная документация'!O40&lt;0,"ошибка","")</f>
      </c>
      <c r="P17" s="192">
        <f>IF('конкурсные предложения'!O14-'конкурсная документация'!P40&lt;0,"ошибка","")</f>
      </c>
      <c r="Q17" s="192">
        <f>IF('конкурсные предложения'!P14-'конкурсная документация'!Q40&lt;0,"ошибка","")</f>
      </c>
      <c r="R17" s="192">
        <f>IF('конкурсные предложения'!Q14-'конкурсная документация'!R40&lt;0,"ошибка","")</f>
      </c>
      <c r="S17" s="192">
        <f>IF('конкурсные предложения'!R14-'конкурсная документация'!S40&lt;0,"ошибка","")</f>
      </c>
      <c r="T17" s="192">
        <f>IF('конкурсные предложения'!S14-'конкурсная документация'!T40&lt;0,"ошибка","")</f>
      </c>
      <c r="U17" s="192">
        <f>IF('конкурсные предложения'!T14-'конкурсная документация'!U40&lt;0,"ошибка","")</f>
      </c>
      <c r="V17" s="192">
        <f>IF('конкурсные предложения'!U14-'конкурсная документация'!V40&lt;0,"ошибка","")</f>
      </c>
      <c r="W17" s="192">
        <f>IF('конкурсные предложения'!V14-'конкурсная документация'!W40&lt;0,"ошибка","")</f>
      </c>
      <c r="X17" s="192">
        <f>IF('конкурсные предложения'!W14-'конкурсная документация'!X40&lt;0,"ошибка","")</f>
      </c>
      <c r="Y17" s="192">
        <f>IF('конкурсные предложения'!X14-'конкурсная документация'!Y40&lt;0,"ошибка","")</f>
      </c>
      <c r="Z17" s="192">
        <f>IF('конкурсные предложения'!Y14-'конкурсная документация'!Z40&lt;0,"ошибка","")</f>
      </c>
      <c r="AA17" s="192">
        <f>IF('конкурсные предложения'!Z14-'конкурсная документация'!AA40&lt;0,"ошибка","")</f>
      </c>
      <c r="AB17" s="192">
        <f>IF('конкурсные предложения'!AA14-'конкурсная документация'!AB40&lt;0,"ошибка","")</f>
      </c>
      <c r="AC17" s="192">
        <f>IF('конкурсные предложения'!AB14-'конкурсная документация'!AC40&lt;0,"ошибка","")</f>
      </c>
      <c r="AD17" s="192">
        <f>IF('конкурсные предложения'!AC14-'конкурсная документация'!AD40&lt;0,"ошибка","")</f>
      </c>
      <c r="AE17" s="192">
        <f>IF('конкурсные предложения'!AD14-'конкурсная документация'!AE40&lt;0,"ошибка","")</f>
      </c>
      <c r="AF17" s="192">
        <f>IF('конкурсные предложения'!AE14-'конкурсная документация'!AF40&lt;0,"ошибка","")</f>
      </c>
    </row>
    <row r="18" spans="1:32" s="16" customFormat="1" ht="60">
      <c r="A18" s="99" t="s">
        <v>35</v>
      </c>
      <c r="B18" s="193"/>
      <c r="C18" s="194">
        <f>'конкурсная документация'!C25</f>
        <v>0</v>
      </c>
      <c r="D18" s="195">
        <f>C19</f>
        <v>0</v>
      </c>
      <c r="E18" s="195">
        <f>D19</f>
        <v>0</v>
      </c>
      <c r="F18" s="195">
        <f aca="true" t="shared" si="0" ref="F18:T18">E19</f>
        <v>0</v>
      </c>
      <c r="G18" s="195">
        <f t="shared" si="0"/>
        <v>0</v>
      </c>
      <c r="H18" s="195">
        <f t="shared" si="0"/>
        <v>0</v>
      </c>
      <c r="I18" s="195">
        <f t="shared" si="0"/>
        <v>0</v>
      </c>
      <c r="J18" s="195">
        <f t="shared" si="0"/>
        <v>0</v>
      </c>
      <c r="K18" s="195">
        <f t="shared" si="0"/>
        <v>0</v>
      </c>
      <c r="L18" s="195">
        <f t="shared" si="0"/>
        <v>0</v>
      </c>
      <c r="M18" s="195">
        <f t="shared" si="0"/>
        <v>0</v>
      </c>
      <c r="N18" s="195">
        <f t="shared" si="0"/>
        <v>0</v>
      </c>
      <c r="O18" s="195">
        <f t="shared" si="0"/>
        <v>0</v>
      </c>
      <c r="P18" s="195">
        <f t="shared" si="0"/>
        <v>0</v>
      </c>
      <c r="Q18" s="195">
        <f t="shared" si="0"/>
        <v>0</v>
      </c>
      <c r="R18" s="195">
        <f t="shared" si="0"/>
        <v>0</v>
      </c>
      <c r="S18" s="195">
        <f t="shared" si="0"/>
        <v>0</v>
      </c>
      <c r="T18" s="195">
        <f t="shared" si="0"/>
        <v>0</v>
      </c>
      <c r="U18" s="195">
        <f>T19</f>
        <v>0</v>
      </c>
      <c r="V18" s="195">
        <f>U19</f>
        <v>0</v>
      </c>
      <c r="W18" s="195">
        <f>V19</f>
        <v>0</v>
      </c>
      <c r="X18" s="195">
        <f aca="true" t="shared" si="1" ref="X18:AF18">W19</f>
        <v>0</v>
      </c>
      <c r="Y18" s="195">
        <f t="shared" si="1"/>
        <v>0</v>
      </c>
      <c r="Z18" s="195">
        <f t="shared" si="1"/>
        <v>0</v>
      </c>
      <c r="AA18" s="195">
        <f t="shared" si="1"/>
        <v>0</v>
      </c>
      <c r="AB18" s="195">
        <f t="shared" si="1"/>
        <v>0</v>
      </c>
      <c r="AC18" s="195">
        <f t="shared" si="1"/>
        <v>0</v>
      </c>
      <c r="AD18" s="195">
        <f t="shared" si="1"/>
        <v>0</v>
      </c>
      <c r="AE18" s="195">
        <f t="shared" si="1"/>
        <v>0</v>
      </c>
      <c r="AF18" s="195">
        <f t="shared" si="1"/>
        <v>0</v>
      </c>
    </row>
    <row r="19" spans="1:32" s="16" customFormat="1" ht="60">
      <c r="A19" s="99" t="s">
        <v>37</v>
      </c>
      <c r="B19" s="193"/>
      <c r="C19" s="195">
        <f>IF(C18-C20&gt;0,C18-C20,0)</f>
        <v>0</v>
      </c>
      <c r="D19" s="195">
        <f aca="true" t="shared" si="2" ref="D19:V19">IF(C19-D20&gt;0,C19-D20,0)</f>
        <v>0</v>
      </c>
      <c r="E19" s="195">
        <f t="shared" si="2"/>
        <v>0</v>
      </c>
      <c r="F19" s="195">
        <f t="shared" si="2"/>
        <v>0</v>
      </c>
      <c r="G19" s="195">
        <f t="shared" si="2"/>
        <v>0</v>
      </c>
      <c r="H19" s="195">
        <f t="shared" si="2"/>
        <v>0</v>
      </c>
      <c r="I19" s="195">
        <f t="shared" si="2"/>
        <v>0</v>
      </c>
      <c r="J19" s="195">
        <f t="shared" si="2"/>
        <v>0</v>
      </c>
      <c r="K19" s="195">
        <f t="shared" si="2"/>
        <v>0</v>
      </c>
      <c r="L19" s="195">
        <f t="shared" si="2"/>
        <v>0</v>
      </c>
      <c r="M19" s="195">
        <f t="shared" si="2"/>
        <v>0</v>
      </c>
      <c r="N19" s="195">
        <f t="shared" si="2"/>
        <v>0</v>
      </c>
      <c r="O19" s="195">
        <f t="shared" si="2"/>
        <v>0</v>
      </c>
      <c r="P19" s="195">
        <f t="shared" si="2"/>
        <v>0</v>
      </c>
      <c r="Q19" s="195">
        <f t="shared" si="2"/>
        <v>0</v>
      </c>
      <c r="R19" s="195">
        <f t="shared" si="2"/>
        <v>0</v>
      </c>
      <c r="S19" s="195">
        <f t="shared" si="2"/>
        <v>0</v>
      </c>
      <c r="T19" s="195">
        <f t="shared" si="2"/>
        <v>0</v>
      </c>
      <c r="U19" s="195">
        <f t="shared" si="2"/>
        <v>0</v>
      </c>
      <c r="V19" s="195">
        <f t="shared" si="2"/>
        <v>0</v>
      </c>
      <c r="W19" s="195">
        <f aca="true" t="shared" si="3" ref="W19:AF19">IF(W18-W20&gt;0,W18-W20,0)</f>
        <v>0</v>
      </c>
      <c r="X19" s="195">
        <f t="shared" si="3"/>
        <v>0</v>
      </c>
      <c r="Y19" s="195">
        <f t="shared" si="3"/>
        <v>0</v>
      </c>
      <c r="Z19" s="195">
        <f t="shared" si="3"/>
        <v>0</v>
      </c>
      <c r="AA19" s="195">
        <f t="shared" si="3"/>
        <v>0</v>
      </c>
      <c r="AB19" s="195">
        <f t="shared" si="3"/>
        <v>0</v>
      </c>
      <c r="AC19" s="195">
        <f t="shared" si="3"/>
        <v>0</v>
      </c>
      <c r="AD19" s="195">
        <f t="shared" si="3"/>
        <v>0</v>
      </c>
      <c r="AE19" s="195">
        <f t="shared" si="3"/>
        <v>0</v>
      </c>
      <c r="AF19" s="195">
        <f t="shared" si="3"/>
        <v>0</v>
      </c>
    </row>
    <row r="20" spans="1:32" s="16" customFormat="1" ht="45.75" customHeight="1">
      <c r="A20" s="196" t="s">
        <v>38</v>
      </c>
      <c r="B20" s="193"/>
      <c r="C20" s="195">
        <f aca="true" t="shared" si="4" ref="C20:AF20">IF($C$18/$C$15*C5&gt;$C$18,0,$C$18/$C$15)</f>
        <v>0</v>
      </c>
      <c r="D20" s="195">
        <f t="shared" si="4"/>
        <v>0</v>
      </c>
      <c r="E20" s="195">
        <f t="shared" si="4"/>
        <v>0</v>
      </c>
      <c r="F20" s="195">
        <f t="shared" si="4"/>
        <v>0</v>
      </c>
      <c r="G20" s="195">
        <f t="shared" si="4"/>
        <v>0</v>
      </c>
      <c r="H20" s="195">
        <f t="shared" si="4"/>
        <v>0</v>
      </c>
      <c r="I20" s="195">
        <f t="shared" si="4"/>
        <v>0</v>
      </c>
      <c r="J20" s="195">
        <f t="shared" si="4"/>
        <v>0</v>
      </c>
      <c r="K20" s="195">
        <f t="shared" si="4"/>
        <v>0</v>
      </c>
      <c r="L20" s="195">
        <f t="shared" si="4"/>
        <v>0</v>
      </c>
      <c r="M20" s="195">
        <f t="shared" si="4"/>
        <v>0</v>
      </c>
      <c r="N20" s="195">
        <f t="shared" si="4"/>
        <v>0</v>
      </c>
      <c r="O20" s="195">
        <f t="shared" si="4"/>
        <v>0</v>
      </c>
      <c r="P20" s="195">
        <f t="shared" si="4"/>
        <v>0</v>
      </c>
      <c r="Q20" s="195">
        <f t="shared" si="4"/>
        <v>0</v>
      </c>
      <c r="R20" s="195">
        <f t="shared" si="4"/>
        <v>0</v>
      </c>
      <c r="S20" s="195">
        <f t="shared" si="4"/>
        <v>0</v>
      </c>
      <c r="T20" s="195">
        <f t="shared" si="4"/>
        <v>0</v>
      </c>
      <c r="U20" s="195">
        <f t="shared" si="4"/>
        <v>0</v>
      </c>
      <c r="V20" s="195">
        <f t="shared" si="4"/>
        <v>0</v>
      </c>
      <c r="W20" s="195">
        <f t="shared" si="4"/>
        <v>0</v>
      </c>
      <c r="X20" s="195">
        <f t="shared" si="4"/>
        <v>0</v>
      </c>
      <c r="Y20" s="195">
        <f t="shared" si="4"/>
        <v>0</v>
      </c>
      <c r="Z20" s="195">
        <f t="shared" si="4"/>
        <v>0</v>
      </c>
      <c r="AA20" s="195">
        <f t="shared" si="4"/>
        <v>0</v>
      </c>
      <c r="AB20" s="195">
        <f t="shared" si="4"/>
        <v>0</v>
      </c>
      <c r="AC20" s="195">
        <f t="shared" si="4"/>
        <v>0</v>
      </c>
      <c r="AD20" s="195">
        <f t="shared" si="4"/>
        <v>0</v>
      </c>
      <c r="AE20" s="195">
        <f t="shared" si="4"/>
        <v>0</v>
      </c>
      <c r="AF20" s="195">
        <f t="shared" si="4"/>
        <v>0</v>
      </c>
    </row>
    <row r="21" spans="1:32" s="16" customFormat="1" ht="30">
      <c r="A21" s="99" t="s">
        <v>1</v>
      </c>
      <c r="B21" s="193"/>
      <c r="C21" s="195">
        <v>0</v>
      </c>
      <c r="D21" s="195">
        <f>C22</f>
        <v>165</v>
      </c>
      <c r="E21" s="195">
        <f>D22</f>
        <v>655.8908928000001</v>
      </c>
      <c r="F21" s="195">
        <f>E22</f>
        <v>1166.4711831600002</v>
      </c>
      <c r="G21" s="195">
        <f>F22</f>
        <v>1496.2247430654222</v>
      </c>
      <c r="H21" s="195">
        <f aca="true" t="shared" si="5" ref="H21:V21">G22</f>
        <v>1552.2006791436388</v>
      </c>
      <c r="I21" s="195">
        <f t="shared" si="5"/>
        <v>1611.1712441514892</v>
      </c>
      <c r="J21" s="195">
        <f t="shared" si="5"/>
        <v>1672.145743214324</v>
      </c>
      <c r="K21" s="195">
        <f t="shared" si="5"/>
        <v>1736.6056253453144</v>
      </c>
      <c r="L21" s="195">
        <f t="shared" si="5"/>
        <v>1803.5136197756633</v>
      </c>
      <c r="M21" s="195">
        <f t="shared" si="5"/>
        <v>1874.3896813804506</v>
      </c>
      <c r="N21" s="195">
        <f t="shared" si="5"/>
        <v>1949.4899196108518</v>
      </c>
      <c r="O21" s="195">
        <f t="shared" si="5"/>
        <v>2379.9954208151044</v>
      </c>
      <c r="P21" s="195">
        <f t="shared" si="5"/>
        <v>3000.953690384775</v>
      </c>
      <c r="Q21" s="195">
        <f t="shared" si="5"/>
        <v>3613.484552221116</v>
      </c>
      <c r="R21" s="195">
        <f t="shared" si="5"/>
        <v>4218.881017920835</v>
      </c>
      <c r="S21" s="195">
        <f t="shared" si="5"/>
        <v>4816.749977953433</v>
      </c>
      <c r="T21" s="195">
        <f t="shared" si="5"/>
        <v>5406.963814039919</v>
      </c>
      <c r="U21" s="195">
        <f t="shared" si="5"/>
        <v>5989.020342094649</v>
      </c>
      <c r="V21" s="195">
        <f t="shared" si="5"/>
        <v>6562.720581846612</v>
      </c>
      <c r="W21" s="195">
        <f aca="true" t="shared" si="6" ref="W21:AF21">V22</f>
        <v>7127.870792563036</v>
      </c>
      <c r="X21" s="195">
        <f t="shared" si="6"/>
        <v>7683.79716799858</v>
      </c>
      <c r="Y21" s="195">
        <f t="shared" si="6"/>
        <v>8238.516055900714</v>
      </c>
      <c r="Z21" s="195">
        <f t="shared" si="6"/>
        <v>8808.319985497063</v>
      </c>
      <c r="AA21" s="195">
        <f t="shared" si="6"/>
        <v>9395.018778103393</v>
      </c>
      <c r="AB21" s="195">
        <f t="shared" si="6"/>
        <v>10119.556068950295</v>
      </c>
      <c r="AC21" s="195">
        <f t="shared" si="6"/>
        <v>10970.374518417106</v>
      </c>
      <c r="AD21" s="195">
        <f t="shared" si="6"/>
        <v>11814.582960496185</v>
      </c>
      <c r="AE21" s="195">
        <f t="shared" si="6"/>
        <v>12652.040077537315</v>
      </c>
      <c r="AF21" s="195">
        <f t="shared" si="6"/>
        <v>13634.397676702454</v>
      </c>
    </row>
    <row r="22" spans="1:32" s="16" customFormat="1" ht="30">
      <c r="A22" s="99" t="s">
        <v>2</v>
      </c>
      <c r="B22" s="193"/>
      <c r="C22" s="195">
        <f aca="true" t="shared" si="7" ref="C22:AF22">C21+C16-C52</f>
        <v>165</v>
      </c>
      <c r="D22" s="195">
        <f t="shared" si="7"/>
        <v>655.8908928000001</v>
      </c>
      <c r="E22" s="195">
        <f t="shared" si="7"/>
        <v>1166.4711831600002</v>
      </c>
      <c r="F22" s="195">
        <f t="shared" si="7"/>
        <v>1496.2247430654222</v>
      </c>
      <c r="G22" s="195">
        <f t="shared" si="7"/>
        <v>1552.2006791436388</v>
      </c>
      <c r="H22" s="195">
        <f t="shared" si="7"/>
        <v>1611.1712441514892</v>
      </c>
      <c r="I22" s="195">
        <f t="shared" si="7"/>
        <v>1672.145743214324</v>
      </c>
      <c r="J22" s="195">
        <f t="shared" si="7"/>
        <v>1736.6056253453144</v>
      </c>
      <c r="K22" s="195">
        <f t="shared" si="7"/>
        <v>1803.5136197756633</v>
      </c>
      <c r="L22" s="195">
        <f t="shared" si="7"/>
        <v>1874.3896813804506</v>
      </c>
      <c r="M22" s="195">
        <f t="shared" si="7"/>
        <v>1949.4899196108518</v>
      </c>
      <c r="N22" s="195">
        <f t="shared" si="7"/>
        <v>2379.9954208151044</v>
      </c>
      <c r="O22" s="195">
        <f t="shared" si="7"/>
        <v>3000.953690384775</v>
      </c>
      <c r="P22" s="195">
        <f t="shared" si="7"/>
        <v>3613.484552221116</v>
      </c>
      <c r="Q22" s="195">
        <f t="shared" si="7"/>
        <v>4218.881017920835</v>
      </c>
      <c r="R22" s="195">
        <f t="shared" si="7"/>
        <v>4816.749977953433</v>
      </c>
      <c r="S22" s="195">
        <f t="shared" si="7"/>
        <v>5406.963814039919</v>
      </c>
      <c r="T22" s="195">
        <f t="shared" si="7"/>
        <v>5989.020342094649</v>
      </c>
      <c r="U22" s="195">
        <f t="shared" si="7"/>
        <v>6562.720581846612</v>
      </c>
      <c r="V22" s="195">
        <f t="shared" si="7"/>
        <v>7127.870792563036</v>
      </c>
      <c r="W22" s="195">
        <f t="shared" si="7"/>
        <v>7683.79716799858</v>
      </c>
      <c r="X22" s="195">
        <f t="shared" si="7"/>
        <v>8238.516055900714</v>
      </c>
      <c r="Y22" s="195">
        <f t="shared" si="7"/>
        <v>8808.319985497063</v>
      </c>
      <c r="Z22" s="195">
        <f t="shared" si="7"/>
        <v>9395.018778103393</v>
      </c>
      <c r="AA22" s="195">
        <f t="shared" si="7"/>
        <v>10119.556068950295</v>
      </c>
      <c r="AB22" s="195">
        <f t="shared" si="7"/>
        <v>10970.374518417106</v>
      </c>
      <c r="AC22" s="195">
        <f t="shared" si="7"/>
        <v>11814.582960496185</v>
      </c>
      <c r="AD22" s="195">
        <f t="shared" si="7"/>
        <v>12652.040077537315</v>
      </c>
      <c r="AE22" s="195">
        <f t="shared" si="7"/>
        <v>13634.397676702454</v>
      </c>
      <c r="AF22" s="195">
        <f t="shared" si="7"/>
        <v>14626.842701361207</v>
      </c>
    </row>
    <row r="23" spans="1:32" s="16" customFormat="1" ht="15">
      <c r="A23" s="197" t="s">
        <v>158</v>
      </c>
      <c r="B23" s="180"/>
      <c r="C23" s="198"/>
      <c r="D23" s="198">
        <f>IF($C$16/$C$15*(D$5-$C$5)&gt;$C$16,0,$C$16/$C$15)</f>
        <v>8.25</v>
      </c>
      <c r="E23" s="198">
        <f aca="true" t="shared" si="8" ref="E23:AF23">IF($C$16/$C$15*(E$5-$C$5)&gt;$C$16,0,$C$16/$C$15)</f>
        <v>8.25</v>
      </c>
      <c r="F23" s="198">
        <f t="shared" si="8"/>
        <v>8.25</v>
      </c>
      <c r="G23" s="198">
        <f t="shared" si="8"/>
        <v>8.25</v>
      </c>
      <c r="H23" s="198">
        <f t="shared" si="8"/>
        <v>8.25</v>
      </c>
      <c r="I23" s="198">
        <f t="shared" si="8"/>
        <v>8.25</v>
      </c>
      <c r="J23" s="198">
        <f t="shared" si="8"/>
        <v>8.25</v>
      </c>
      <c r="K23" s="198">
        <f t="shared" si="8"/>
        <v>8.25</v>
      </c>
      <c r="L23" s="198">
        <f t="shared" si="8"/>
        <v>8.25</v>
      </c>
      <c r="M23" s="198">
        <f t="shared" si="8"/>
        <v>8.25</v>
      </c>
      <c r="N23" s="198">
        <f t="shared" si="8"/>
        <v>8.25</v>
      </c>
      <c r="O23" s="198">
        <f t="shared" si="8"/>
        <v>8.25</v>
      </c>
      <c r="P23" s="198">
        <f t="shared" si="8"/>
        <v>8.25</v>
      </c>
      <c r="Q23" s="198">
        <f t="shared" si="8"/>
        <v>8.25</v>
      </c>
      <c r="R23" s="198">
        <f t="shared" si="8"/>
        <v>8.25</v>
      </c>
      <c r="S23" s="198">
        <f t="shared" si="8"/>
        <v>8.25</v>
      </c>
      <c r="T23" s="198">
        <f t="shared" si="8"/>
        <v>8.25</v>
      </c>
      <c r="U23" s="198">
        <f t="shared" si="8"/>
        <v>8.25</v>
      </c>
      <c r="V23" s="198">
        <f t="shared" si="8"/>
        <v>8.25</v>
      </c>
      <c r="W23" s="198">
        <f t="shared" si="8"/>
        <v>8.25</v>
      </c>
      <c r="X23" s="198">
        <f t="shared" si="8"/>
        <v>0</v>
      </c>
      <c r="Y23" s="198">
        <f t="shared" si="8"/>
        <v>0</v>
      </c>
      <c r="Z23" s="198">
        <f t="shared" si="8"/>
        <v>0</v>
      </c>
      <c r="AA23" s="198">
        <f t="shared" si="8"/>
        <v>0</v>
      </c>
      <c r="AB23" s="198">
        <f t="shared" si="8"/>
        <v>0</v>
      </c>
      <c r="AC23" s="198">
        <f t="shared" si="8"/>
        <v>0</v>
      </c>
      <c r="AD23" s="198">
        <f t="shared" si="8"/>
        <v>0</v>
      </c>
      <c r="AE23" s="198">
        <f t="shared" si="8"/>
        <v>0</v>
      </c>
      <c r="AF23" s="198">
        <f t="shared" si="8"/>
        <v>0</v>
      </c>
    </row>
    <row r="24" spans="1:32" s="16" customFormat="1" ht="15">
      <c r="A24" s="197" t="s">
        <v>159</v>
      </c>
      <c r="B24" s="180"/>
      <c r="C24" s="198"/>
      <c r="D24" s="199"/>
      <c r="E24" s="198">
        <f>IF($D$16/$C$15*(E$5-$D$5)&gt;$D$16,0,$D$16/$C$15)</f>
        <v>24.957044640000007</v>
      </c>
      <c r="F24" s="198">
        <f aca="true" t="shared" si="9" ref="F24:AF24">IF($D$16/$C$15*(F$5-$D$5)&gt;$D$16,0,$D$16/$C$15)</f>
        <v>24.957044640000007</v>
      </c>
      <c r="G24" s="198">
        <f t="shared" si="9"/>
        <v>24.957044640000007</v>
      </c>
      <c r="H24" s="198">
        <f t="shared" si="9"/>
        <v>24.957044640000007</v>
      </c>
      <c r="I24" s="198">
        <f t="shared" si="9"/>
        <v>24.957044640000007</v>
      </c>
      <c r="J24" s="198">
        <f t="shared" si="9"/>
        <v>24.957044640000007</v>
      </c>
      <c r="K24" s="198">
        <f t="shared" si="9"/>
        <v>24.957044640000007</v>
      </c>
      <c r="L24" s="198">
        <f t="shared" si="9"/>
        <v>24.957044640000007</v>
      </c>
      <c r="M24" s="198">
        <f t="shared" si="9"/>
        <v>24.957044640000007</v>
      </c>
      <c r="N24" s="198">
        <f t="shared" si="9"/>
        <v>24.957044640000007</v>
      </c>
      <c r="O24" s="198">
        <f t="shared" si="9"/>
        <v>24.957044640000007</v>
      </c>
      <c r="P24" s="198">
        <f t="shared" si="9"/>
        <v>24.957044640000007</v>
      </c>
      <c r="Q24" s="198">
        <f t="shared" si="9"/>
        <v>24.957044640000007</v>
      </c>
      <c r="R24" s="198">
        <f t="shared" si="9"/>
        <v>24.957044640000007</v>
      </c>
      <c r="S24" s="198">
        <f t="shared" si="9"/>
        <v>24.957044640000007</v>
      </c>
      <c r="T24" s="198">
        <f t="shared" si="9"/>
        <v>24.957044640000007</v>
      </c>
      <c r="U24" s="198">
        <f t="shared" si="9"/>
        <v>24.957044640000007</v>
      </c>
      <c r="V24" s="198">
        <f t="shared" si="9"/>
        <v>24.957044640000007</v>
      </c>
      <c r="W24" s="198">
        <f t="shared" si="9"/>
        <v>24.957044640000007</v>
      </c>
      <c r="X24" s="198">
        <f t="shared" si="9"/>
        <v>24.957044640000007</v>
      </c>
      <c r="Y24" s="198">
        <f t="shared" si="9"/>
        <v>0</v>
      </c>
      <c r="Z24" s="198">
        <f t="shared" si="9"/>
        <v>0</v>
      </c>
      <c r="AA24" s="198">
        <f t="shared" si="9"/>
        <v>0</v>
      </c>
      <c r="AB24" s="198">
        <f t="shared" si="9"/>
        <v>0</v>
      </c>
      <c r="AC24" s="198">
        <f t="shared" si="9"/>
        <v>0</v>
      </c>
      <c r="AD24" s="198">
        <f t="shared" si="9"/>
        <v>0</v>
      </c>
      <c r="AE24" s="198">
        <f t="shared" si="9"/>
        <v>0</v>
      </c>
      <c r="AF24" s="198">
        <f t="shared" si="9"/>
        <v>0</v>
      </c>
    </row>
    <row r="25" spans="1:32" s="16" customFormat="1" ht="15">
      <c r="A25" s="197" t="s">
        <v>160</v>
      </c>
      <c r="B25" s="180"/>
      <c r="C25" s="198"/>
      <c r="D25" s="198"/>
      <c r="E25" s="198"/>
      <c r="F25" s="198">
        <f>IF($E$16/$C$15*(F$5-$E$5)&gt;$E$16,0,$E$16/$C$15)</f>
        <v>27.189366750000012</v>
      </c>
      <c r="G25" s="198">
        <f aca="true" t="shared" si="10" ref="G25:AF25">IF($E$16/$C$15*(G$5-$E$5)&gt;$E$16,0,$E$16/$C$15)</f>
        <v>27.189366750000012</v>
      </c>
      <c r="H25" s="198">
        <f t="shared" si="10"/>
        <v>27.189366750000012</v>
      </c>
      <c r="I25" s="198">
        <f t="shared" si="10"/>
        <v>27.189366750000012</v>
      </c>
      <c r="J25" s="198">
        <f t="shared" si="10"/>
        <v>27.189366750000012</v>
      </c>
      <c r="K25" s="198">
        <f t="shared" si="10"/>
        <v>27.189366750000012</v>
      </c>
      <c r="L25" s="198">
        <f t="shared" si="10"/>
        <v>27.189366750000012</v>
      </c>
      <c r="M25" s="198">
        <f t="shared" si="10"/>
        <v>27.189366750000012</v>
      </c>
      <c r="N25" s="198">
        <f t="shared" si="10"/>
        <v>27.189366750000012</v>
      </c>
      <c r="O25" s="198">
        <f t="shared" si="10"/>
        <v>27.189366750000012</v>
      </c>
      <c r="P25" s="198">
        <f t="shared" si="10"/>
        <v>27.189366750000012</v>
      </c>
      <c r="Q25" s="198">
        <f t="shared" si="10"/>
        <v>27.189366750000012</v>
      </c>
      <c r="R25" s="198">
        <f t="shared" si="10"/>
        <v>27.189366750000012</v>
      </c>
      <c r="S25" s="198">
        <f t="shared" si="10"/>
        <v>27.189366750000012</v>
      </c>
      <c r="T25" s="198">
        <f t="shared" si="10"/>
        <v>27.189366750000012</v>
      </c>
      <c r="U25" s="198">
        <f t="shared" si="10"/>
        <v>27.189366750000012</v>
      </c>
      <c r="V25" s="198">
        <f t="shared" si="10"/>
        <v>27.189366750000012</v>
      </c>
      <c r="W25" s="198">
        <f t="shared" si="10"/>
        <v>27.189366750000012</v>
      </c>
      <c r="X25" s="198">
        <f t="shared" si="10"/>
        <v>27.189366750000012</v>
      </c>
      <c r="Y25" s="198">
        <f t="shared" si="10"/>
        <v>27.189366750000012</v>
      </c>
      <c r="Z25" s="198">
        <f t="shared" si="10"/>
        <v>0</v>
      </c>
      <c r="AA25" s="198">
        <f t="shared" si="10"/>
        <v>0</v>
      </c>
      <c r="AB25" s="198">
        <f t="shared" si="10"/>
        <v>0</v>
      </c>
      <c r="AC25" s="198">
        <f t="shared" si="10"/>
        <v>0</v>
      </c>
      <c r="AD25" s="198">
        <f t="shared" si="10"/>
        <v>0</v>
      </c>
      <c r="AE25" s="198">
        <f t="shared" si="10"/>
        <v>0</v>
      </c>
      <c r="AF25" s="198">
        <f t="shared" si="10"/>
        <v>0</v>
      </c>
    </row>
    <row r="26" spans="1:32" s="16" customFormat="1" ht="15">
      <c r="A26" s="197" t="s">
        <v>161</v>
      </c>
      <c r="B26" s="180"/>
      <c r="C26" s="198"/>
      <c r="D26" s="198"/>
      <c r="E26" s="198"/>
      <c r="F26" s="198"/>
      <c r="G26" s="198">
        <f>IF($F$16/$C$15*(G$5-$F$5)&gt;$F$16,0,$F$16/$C$15)</f>
        <v>19.507498564771094</v>
      </c>
      <c r="H26" s="198">
        <f>IF($F$16/$C$15*(H$5-$F$5)&gt;$F$16,0,$F$16/$C$15)</f>
        <v>19.507498564771094</v>
      </c>
      <c r="I26" s="198">
        <f aca="true" t="shared" si="11" ref="I26:AF26">IF($F$16/$C$15*(I$5-$F$5)&gt;$F$16,0,$F$16/$C$15)</f>
        <v>19.507498564771094</v>
      </c>
      <c r="J26" s="198">
        <f t="shared" si="11"/>
        <v>19.507498564771094</v>
      </c>
      <c r="K26" s="198">
        <f t="shared" si="11"/>
        <v>19.507498564771094</v>
      </c>
      <c r="L26" s="198">
        <f t="shared" si="11"/>
        <v>19.507498564771094</v>
      </c>
      <c r="M26" s="198">
        <f t="shared" si="11"/>
        <v>19.507498564771094</v>
      </c>
      <c r="N26" s="198">
        <f t="shared" si="11"/>
        <v>19.507498564771094</v>
      </c>
      <c r="O26" s="198">
        <f t="shared" si="11"/>
        <v>19.507498564771094</v>
      </c>
      <c r="P26" s="198">
        <f t="shared" si="11"/>
        <v>19.507498564771094</v>
      </c>
      <c r="Q26" s="198">
        <f t="shared" si="11"/>
        <v>19.507498564771094</v>
      </c>
      <c r="R26" s="198">
        <f t="shared" si="11"/>
        <v>19.507498564771094</v>
      </c>
      <c r="S26" s="198">
        <f t="shared" si="11"/>
        <v>19.507498564771094</v>
      </c>
      <c r="T26" s="198">
        <f t="shared" si="11"/>
        <v>19.507498564771094</v>
      </c>
      <c r="U26" s="198">
        <f t="shared" si="11"/>
        <v>19.507498564771094</v>
      </c>
      <c r="V26" s="198">
        <f t="shared" si="11"/>
        <v>19.507498564771094</v>
      </c>
      <c r="W26" s="198">
        <f t="shared" si="11"/>
        <v>19.507498564771094</v>
      </c>
      <c r="X26" s="198">
        <f t="shared" si="11"/>
        <v>19.507498564771094</v>
      </c>
      <c r="Y26" s="198">
        <f t="shared" si="11"/>
        <v>19.507498564771094</v>
      </c>
      <c r="Z26" s="198">
        <f t="shared" si="11"/>
        <v>19.507498564771094</v>
      </c>
      <c r="AA26" s="198">
        <f t="shared" si="11"/>
        <v>0</v>
      </c>
      <c r="AB26" s="198">
        <f t="shared" si="11"/>
        <v>0</v>
      </c>
      <c r="AC26" s="198">
        <f t="shared" si="11"/>
        <v>0</v>
      </c>
      <c r="AD26" s="198">
        <f t="shared" si="11"/>
        <v>0</v>
      </c>
      <c r="AE26" s="198">
        <f t="shared" si="11"/>
        <v>0</v>
      </c>
      <c r="AF26" s="198">
        <f t="shared" si="11"/>
        <v>0</v>
      </c>
    </row>
    <row r="27" spans="1:32" s="16" customFormat="1" ht="15">
      <c r="A27" s="197" t="s">
        <v>162</v>
      </c>
      <c r="B27" s="180"/>
      <c r="C27" s="198"/>
      <c r="D27" s="198"/>
      <c r="E27" s="198"/>
      <c r="F27" s="198"/>
      <c r="G27" s="198"/>
      <c r="H27" s="198">
        <f>IF($G$16/$C$15*(H$5-$G$5)&gt;$G$16,0,$G$16/$C$15)</f>
        <v>6.7939923016493795</v>
      </c>
      <c r="I27" s="198">
        <f aca="true" t="shared" si="12" ref="I27:AF27">IF($G$16/$C$15*(I$5-$G$5)&gt;$G$16,0,$G$16/$C$15)</f>
        <v>6.7939923016493795</v>
      </c>
      <c r="J27" s="198">
        <f t="shared" si="12"/>
        <v>6.7939923016493795</v>
      </c>
      <c r="K27" s="198">
        <f t="shared" si="12"/>
        <v>6.7939923016493795</v>
      </c>
      <c r="L27" s="198">
        <f t="shared" si="12"/>
        <v>6.7939923016493795</v>
      </c>
      <c r="M27" s="198">
        <f t="shared" si="12"/>
        <v>6.7939923016493795</v>
      </c>
      <c r="N27" s="198">
        <f t="shared" si="12"/>
        <v>6.7939923016493795</v>
      </c>
      <c r="O27" s="198">
        <f t="shared" si="12"/>
        <v>6.7939923016493795</v>
      </c>
      <c r="P27" s="198">
        <f t="shared" si="12"/>
        <v>6.7939923016493795</v>
      </c>
      <c r="Q27" s="198">
        <f t="shared" si="12"/>
        <v>6.7939923016493795</v>
      </c>
      <c r="R27" s="198">
        <f t="shared" si="12"/>
        <v>6.7939923016493795</v>
      </c>
      <c r="S27" s="198">
        <f t="shared" si="12"/>
        <v>6.7939923016493795</v>
      </c>
      <c r="T27" s="198">
        <f t="shared" si="12"/>
        <v>6.7939923016493795</v>
      </c>
      <c r="U27" s="198">
        <f t="shared" si="12"/>
        <v>6.7939923016493795</v>
      </c>
      <c r="V27" s="198">
        <f t="shared" si="12"/>
        <v>6.7939923016493795</v>
      </c>
      <c r="W27" s="198">
        <f t="shared" si="12"/>
        <v>6.7939923016493795</v>
      </c>
      <c r="X27" s="198">
        <f t="shared" si="12"/>
        <v>6.7939923016493795</v>
      </c>
      <c r="Y27" s="198">
        <f t="shared" si="12"/>
        <v>6.7939923016493795</v>
      </c>
      <c r="Z27" s="198">
        <f t="shared" si="12"/>
        <v>6.7939923016493795</v>
      </c>
      <c r="AA27" s="198">
        <f t="shared" si="12"/>
        <v>6.7939923016493795</v>
      </c>
      <c r="AB27" s="198">
        <f t="shared" si="12"/>
        <v>0</v>
      </c>
      <c r="AC27" s="198">
        <f t="shared" si="12"/>
        <v>0</v>
      </c>
      <c r="AD27" s="198">
        <f t="shared" si="12"/>
        <v>0</v>
      </c>
      <c r="AE27" s="198">
        <f t="shared" si="12"/>
        <v>0</v>
      </c>
      <c r="AF27" s="198">
        <f t="shared" si="12"/>
        <v>0</v>
      </c>
    </row>
    <row r="28" spans="1:32" s="16" customFormat="1" ht="15">
      <c r="A28" s="197" t="s">
        <v>163</v>
      </c>
      <c r="B28" s="180"/>
      <c r="C28" s="198"/>
      <c r="D28" s="198"/>
      <c r="E28" s="198"/>
      <c r="F28" s="198"/>
      <c r="G28" s="198"/>
      <c r="H28" s="198"/>
      <c r="I28" s="198">
        <f>IF($H$16/$C$15*(I$5-$H$5)&gt;$H$16,0,$H$16/$C$15)</f>
        <v>7.283423363213548</v>
      </c>
      <c r="J28" s="198">
        <f aca="true" t="shared" si="13" ref="J28:AF28">IF($H$16/$C$15*(J$5-$H$5)&gt;$H$16,0,$H$16/$C$15)</f>
        <v>7.283423363213548</v>
      </c>
      <c r="K28" s="198">
        <f t="shared" si="13"/>
        <v>7.283423363213548</v>
      </c>
      <c r="L28" s="198">
        <f t="shared" si="13"/>
        <v>7.283423363213548</v>
      </c>
      <c r="M28" s="198">
        <f t="shared" si="13"/>
        <v>7.283423363213548</v>
      </c>
      <c r="N28" s="198">
        <f t="shared" si="13"/>
        <v>7.283423363213548</v>
      </c>
      <c r="O28" s="198">
        <f t="shared" si="13"/>
        <v>7.283423363213548</v>
      </c>
      <c r="P28" s="198">
        <f t="shared" si="13"/>
        <v>7.283423363213548</v>
      </c>
      <c r="Q28" s="198">
        <f t="shared" si="13"/>
        <v>7.283423363213548</v>
      </c>
      <c r="R28" s="198">
        <f t="shared" si="13"/>
        <v>7.283423363213548</v>
      </c>
      <c r="S28" s="198">
        <f t="shared" si="13"/>
        <v>7.283423363213548</v>
      </c>
      <c r="T28" s="198">
        <f t="shared" si="13"/>
        <v>7.283423363213548</v>
      </c>
      <c r="U28" s="198">
        <f t="shared" si="13"/>
        <v>7.283423363213548</v>
      </c>
      <c r="V28" s="198">
        <f t="shared" si="13"/>
        <v>7.283423363213548</v>
      </c>
      <c r="W28" s="198">
        <f t="shared" si="13"/>
        <v>7.283423363213548</v>
      </c>
      <c r="X28" s="198">
        <f t="shared" si="13"/>
        <v>7.283423363213548</v>
      </c>
      <c r="Y28" s="198">
        <f t="shared" si="13"/>
        <v>7.283423363213548</v>
      </c>
      <c r="Z28" s="198">
        <f t="shared" si="13"/>
        <v>7.283423363213548</v>
      </c>
      <c r="AA28" s="198">
        <f t="shared" si="13"/>
        <v>7.283423363213548</v>
      </c>
      <c r="AB28" s="198">
        <f t="shared" si="13"/>
        <v>7.283423363213548</v>
      </c>
      <c r="AC28" s="198">
        <f t="shared" si="13"/>
        <v>0</v>
      </c>
      <c r="AD28" s="198">
        <f t="shared" si="13"/>
        <v>0</v>
      </c>
      <c r="AE28" s="198">
        <f t="shared" si="13"/>
        <v>0</v>
      </c>
      <c r="AF28" s="198">
        <f t="shared" si="13"/>
        <v>0</v>
      </c>
    </row>
    <row r="29" spans="1:32" s="16" customFormat="1" ht="15">
      <c r="A29" s="197" t="s">
        <v>164</v>
      </c>
      <c r="B29" s="180"/>
      <c r="C29" s="198"/>
      <c r="D29" s="198"/>
      <c r="E29" s="198"/>
      <c r="F29" s="198"/>
      <c r="G29" s="198"/>
      <c r="H29" s="198"/>
      <c r="I29" s="198"/>
      <c r="J29" s="198">
        <f>IF($I$16/$C$15*(J$5-$I$5)&gt;$I$16,0,$I$16/$C$15)</f>
        <v>7.7477912341234445</v>
      </c>
      <c r="K29" s="198">
        <f aca="true" t="shared" si="14" ref="K29:AF29">IF($I$16/$C$15*(K$5-$I$5)&gt;$I$16,0,$I$16/$C$15)</f>
        <v>7.7477912341234445</v>
      </c>
      <c r="L29" s="198">
        <f t="shared" si="14"/>
        <v>7.7477912341234445</v>
      </c>
      <c r="M29" s="198">
        <f t="shared" si="14"/>
        <v>7.7477912341234445</v>
      </c>
      <c r="N29" s="198">
        <f t="shared" si="14"/>
        <v>7.7477912341234445</v>
      </c>
      <c r="O29" s="198">
        <f t="shared" si="14"/>
        <v>7.7477912341234445</v>
      </c>
      <c r="P29" s="198">
        <f t="shared" si="14"/>
        <v>7.7477912341234445</v>
      </c>
      <c r="Q29" s="198">
        <f t="shared" si="14"/>
        <v>7.7477912341234445</v>
      </c>
      <c r="R29" s="198">
        <f t="shared" si="14"/>
        <v>7.7477912341234445</v>
      </c>
      <c r="S29" s="198">
        <f t="shared" si="14"/>
        <v>7.7477912341234445</v>
      </c>
      <c r="T29" s="198">
        <f t="shared" si="14"/>
        <v>7.7477912341234445</v>
      </c>
      <c r="U29" s="198">
        <f t="shared" si="14"/>
        <v>7.7477912341234445</v>
      </c>
      <c r="V29" s="198">
        <f t="shared" si="14"/>
        <v>7.7477912341234445</v>
      </c>
      <c r="W29" s="198">
        <f t="shared" si="14"/>
        <v>7.7477912341234445</v>
      </c>
      <c r="X29" s="198">
        <f t="shared" si="14"/>
        <v>7.7477912341234445</v>
      </c>
      <c r="Y29" s="198">
        <f t="shared" si="14"/>
        <v>7.7477912341234445</v>
      </c>
      <c r="Z29" s="198">
        <f t="shared" si="14"/>
        <v>7.7477912341234445</v>
      </c>
      <c r="AA29" s="198">
        <f t="shared" si="14"/>
        <v>7.7477912341234445</v>
      </c>
      <c r="AB29" s="198">
        <f t="shared" si="14"/>
        <v>7.7477912341234445</v>
      </c>
      <c r="AC29" s="198">
        <f t="shared" si="14"/>
        <v>7.7477912341234445</v>
      </c>
      <c r="AD29" s="198">
        <f t="shared" si="14"/>
        <v>0</v>
      </c>
      <c r="AE29" s="198">
        <f t="shared" si="14"/>
        <v>0</v>
      </c>
      <c r="AF29" s="198">
        <f t="shared" si="14"/>
        <v>0</v>
      </c>
    </row>
    <row r="30" spans="1:32" s="16" customFormat="1" ht="15">
      <c r="A30" s="197" t="s">
        <v>165</v>
      </c>
      <c r="B30" s="180"/>
      <c r="C30" s="198"/>
      <c r="D30" s="198"/>
      <c r="E30" s="198"/>
      <c r="F30" s="198"/>
      <c r="G30" s="198"/>
      <c r="H30" s="198"/>
      <c r="I30" s="198"/>
      <c r="J30" s="198"/>
      <c r="K30" s="198">
        <f>IF($J$16/$C$15*(K$5-$J$5)&gt;$J$16,0,$J$16/$C$15)</f>
        <v>8.309449949237385</v>
      </c>
      <c r="L30" s="198">
        <f>IF($J$16/$C$15*(L$5-$J$5)&gt;$J$16,0,$J$16/$C$15)</f>
        <v>8.309449949237385</v>
      </c>
      <c r="M30" s="198">
        <f aca="true" t="shared" si="15" ref="M30:AF30">IF($J$16/$C$15*(M$5-$J$5)&gt;$J$16,0,$J$16/$C$15)</f>
        <v>8.309449949237385</v>
      </c>
      <c r="N30" s="198">
        <f t="shared" si="15"/>
        <v>8.309449949237385</v>
      </c>
      <c r="O30" s="198">
        <f t="shared" si="15"/>
        <v>8.309449949237385</v>
      </c>
      <c r="P30" s="198">
        <f t="shared" si="15"/>
        <v>8.309449949237385</v>
      </c>
      <c r="Q30" s="198">
        <f t="shared" si="15"/>
        <v>8.309449949237385</v>
      </c>
      <c r="R30" s="198">
        <f t="shared" si="15"/>
        <v>8.309449949237385</v>
      </c>
      <c r="S30" s="198">
        <f t="shared" si="15"/>
        <v>8.309449949237385</v>
      </c>
      <c r="T30" s="198">
        <f t="shared" si="15"/>
        <v>8.309449949237385</v>
      </c>
      <c r="U30" s="198">
        <f t="shared" si="15"/>
        <v>8.309449949237385</v>
      </c>
      <c r="V30" s="198">
        <f t="shared" si="15"/>
        <v>8.309449949237385</v>
      </c>
      <c r="W30" s="198">
        <f t="shared" si="15"/>
        <v>8.309449949237385</v>
      </c>
      <c r="X30" s="198">
        <f t="shared" si="15"/>
        <v>8.309449949237385</v>
      </c>
      <c r="Y30" s="198">
        <f t="shared" si="15"/>
        <v>8.309449949237385</v>
      </c>
      <c r="Z30" s="198">
        <f t="shared" si="15"/>
        <v>8.309449949237385</v>
      </c>
      <c r="AA30" s="198">
        <f t="shared" si="15"/>
        <v>8.309449949237385</v>
      </c>
      <c r="AB30" s="198">
        <f t="shared" si="15"/>
        <v>8.309449949237385</v>
      </c>
      <c r="AC30" s="198">
        <f t="shared" si="15"/>
        <v>8.309449949237385</v>
      </c>
      <c r="AD30" s="198">
        <f t="shared" si="15"/>
        <v>8.309449949237385</v>
      </c>
      <c r="AE30" s="198">
        <f t="shared" si="15"/>
        <v>0</v>
      </c>
      <c r="AF30" s="198">
        <f t="shared" si="15"/>
        <v>0</v>
      </c>
    </row>
    <row r="31" spans="1:32" s="16" customFormat="1" ht="15">
      <c r="A31" s="197" t="s">
        <v>166</v>
      </c>
      <c r="B31" s="180"/>
      <c r="C31" s="198"/>
      <c r="D31" s="198"/>
      <c r="E31" s="198"/>
      <c r="F31" s="198"/>
      <c r="G31" s="198"/>
      <c r="H31" s="198"/>
      <c r="I31" s="198"/>
      <c r="J31" s="198"/>
      <c r="K31" s="198"/>
      <c r="L31" s="198">
        <f>IF($K$16/$C$15*(L$5-$K$5)&gt;$K$16,0,$K$16/$C$15)</f>
        <v>8.847328061667188</v>
      </c>
      <c r="M31" s="198">
        <f aca="true" t="shared" si="16" ref="M31:AF31">IF($K$16/$C$15*(M$5-$K$5)&gt;$K$16,0,$K$16/$C$15)</f>
        <v>8.847328061667188</v>
      </c>
      <c r="N31" s="198">
        <f t="shared" si="16"/>
        <v>8.847328061667188</v>
      </c>
      <c r="O31" s="198">
        <f t="shared" si="16"/>
        <v>8.847328061667188</v>
      </c>
      <c r="P31" s="198">
        <f t="shared" si="16"/>
        <v>8.847328061667188</v>
      </c>
      <c r="Q31" s="198">
        <f t="shared" si="16"/>
        <v>8.847328061667188</v>
      </c>
      <c r="R31" s="198">
        <f t="shared" si="16"/>
        <v>8.847328061667188</v>
      </c>
      <c r="S31" s="198">
        <f t="shared" si="16"/>
        <v>8.847328061667188</v>
      </c>
      <c r="T31" s="198">
        <f t="shared" si="16"/>
        <v>8.847328061667188</v>
      </c>
      <c r="U31" s="198">
        <f t="shared" si="16"/>
        <v>8.847328061667188</v>
      </c>
      <c r="V31" s="198">
        <f t="shared" si="16"/>
        <v>8.847328061667188</v>
      </c>
      <c r="W31" s="198">
        <f t="shared" si="16"/>
        <v>8.847328061667188</v>
      </c>
      <c r="X31" s="198">
        <f t="shared" si="16"/>
        <v>8.847328061667188</v>
      </c>
      <c r="Y31" s="198">
        <f t="shared" si="16"/>
        <v>8.847328061667188</v>
      </c>
      <c r="Z31" s="198">
        <f t="shared" si="16"/>
        <v>8.847328061667188</v>
      </c>
      <c r="AA31" s="198">
        <f t="shared" si="16"/>
        <v>8.847328061667188</v>
      </c>
      <c r="AB31" s="198">
        <f t="shared" si="16"/>
        <v>8.847328061667188</v>
      </c>
      <c r="AC31" s="198">
        <f t="shared" si="16"/>
        <v>8.847328061667188</v>
      </c>
      <c r="AD31" s="198">
        <f t="shared" si="16"/>
        <v>8.847328061667188</v>
      </c>
      <c r="AE31" s="198">
        <f t="shared" si="16"/>
        <v>8.847328061667188</v>
      </c>
      <c r="AF31" s="198">
        <f t="shared" si="16"/>
        <v>0</v>
      </c>
    </row>
    <row r="32" spans="1:32" s="16" customFormat="1" ht="15.75" customHeight="1">
      <c r="A32" s="197" t="s">
        <v>167</v>
      </c>
      <c r="B32" s="180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>
        <f>IF($L$16/$C$15*(M$5-$L$5)&gt;$L$16,0,$L$16/$C$15)</f>
        <v>9.488097823472472</v>
      </c>
      <c r="N32" s="198">
        <f aca="true" t="shared" si="17" ref="N32:AF32">IF($L$16/$C$15*(N$5-$L$5)&gt;$L$16,0,$L$16/$C$15)</f>
        <v>9.488097823472472</v>
      </c>
      <c r="O32" s="198">
        <f t="shared" si="17"/>
        <v>9.488097823472472</v>
      </c>
      <c r="P32" s="198">
        <f t="shared" si="17"/>
        <v>9.488097823472472</v>
      </c>
      <c r="Q32" s="198">
        <f t="shared" si="17"/>
        <v>9.488097823472472</v>
      </c>
      <c r="R32" s="198">
        <f t="shared" si="17"/>
        <v>9.488097823472472</v>
      </c>
      <c r="S32" s="198">
        <f t="shared" si="17"/>
        <v>9.488097823472472</v>
      </c>
      <c r="T32" s="198">
        <f t="shared" si="17"/>
        <v>9.488097823472472</v>
      </c>
      <c r="U32" s="198">
        <f t="shared" si="17"/>
        <v>9.488097823472472</v>
      </c>
      <c r="V32" s="198">
        <f t="shared" si="17"/>
        <v>9.488097823472472</v>
      </c>
      <c r="W32" s="198">
        <f t="shared" si="17"/>
        <v>9.488097823472472</v>
      </c>
      <c r="X32" s="198">
        <f t="shared" si="17"/>
        <v>9.488097823472472</v>
      </c>
      <c r="Y32" s="198">
        <f t="shared" si="17"/>
        <v>9.488097823472472</v>
      </c>
      <c r="Z32" s="198">
        <f t="shared" si="17"/>
        <v>9.488097823472472</v>
      </c>
      <c r="AA32" s="198">
        <f t="shared" si="17"/>
        <v>9.488097823472472</v>
      </c>
      <c r="AB32" s="198">
        <f t="shared" si="17"/>
        <v>9.488097823472472</v>
      </c>
      <c r="AC32" s="198">
        <f t="shared" si="17"/>
        <v>9.488097823472472</v>
      </c>
      <c r="AD32" s="198">
        <f t="shared" si="17"/>
        <v>9.488097823472472</v>
      </c>
      <c r="AE32" s="198">
        <f t="shared" si="17"/>
        <v>9.488097823472472</v>
      </c>
      <c r="AF32" s="198">
        <f t="shared" si="17"/>
        <v>9.488097823472472</v>
      </c>
    </row>
    <row r="33" spans="1:32" s="16" customFormat="1" ht="15.75" customHeight="1">
      <c r="A33" s="197" t="s">
        <v>195</v>
      </c>
      <c r="B33" s="180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>
        <f>IF($M$16/$C$15*(N$5-$M$5)&gt;$M$16,0,$M$16/$C$15)</f>
        <v>10.173711545926784</v>
      </c>
      <c r="O33" s="198">
        <f>IF($M$16/$C$15*(O$5-$M$5)&gt;$M$16,0,$M$16/$C$15)</f>
        <v>10.173711545926784</v>
      </c>
      <c r="P33" s="198">
        <f>IF($M$16/$C$15*(P$5-$M$5)&gt;$M$16,0,$M$16/$C$15)</f>
        <v>10.173711545926784</v>
      </c>
      <c r="Q33" s="198">
        <f aca="true" t="shared" si="18" ref="Q33:AF33">IF($M$16/$C$15*(Q$5-$M$5)&gt;$M$16,0,$M$16/$C$15)</f>
        <v>10.173711545926784</v>
      </c>
      <c r="R33" s="198">
        <f t="shared" si="18"/>
        <v>10.173711545926784</v>
      </c>
      <c r="S33" s="198">
        <f t="shared" si="18"/>
        <v>10.173711545926784</v>
      </c>
      <c r="T33" s="198">
        <f t="shared" si="18"/>
        <v>10.173711545926784</v>
      </c>
      <c r="U33" s="198">
        <f t="shared" si="18"/>
        <v>10.173711545926784</v>
      </c>
      <c r="V33" s="198">
        <f t="shared" si="18"/>
        <v>10.173711545926784</v>
      </c>
      <c r="W33" s="198">
        <f t="shared" si="18"/>
        <v>10.173711545926784</v>
      </c>
      <c r="X33" s="198">
        <f t="shared" si="18"/>
        <v>10.173711545926784</v>
      </c>
      <c r="Y33" s="198">
        <f t="shared" si="18"/>
        <v>10.173711545926784</v>
      </c>
      <c r="Z33" s="198">
        <f t="shared" si="18"/>
        <v>10.173711545926784</v>
      </c>
      <c r="AA33" s="198">
        <f t="shared" si="18"/>
        <v>10.173711545926784</v>
      </c>
      <c r="AB33" s="198">
        <f t="shared" si="18"/>
        <v>10.173711545926784</v>
      </c>
      <c r="AC33" s="198">
        <f t="shared" si="18"/>
        <v>10.173711545926784</v>
      </c>
      <c r="AD33" s="198">
        <f t="shared" si="18"/>
        <v>10.173711545926784</v>
      </c>
      <c r="AE33" s="198">
        <f t="shared" si="18"/>
        <v>10.173711545926784</v>
      </c>
      <c r="AF33" s="198">
        <f t="shared" si="18"/>
        <v>10.173711545926784</v>
      </c>
    </row>
    <row r="34" spans="1:32" s="16" customFormat="1" ht="15.75" customHeight="1">
      <c r="A34" s="197" t="s">
        <v>196</v>
      </c>
      <c r="B34" s="180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>
        <f>IF($N$16/$C$15*(O$5-$N$5)&gt;$N$16,0,$N$16/$C$15)</f>
        <v>28.452660271915704</v>
      </c>
      <c r="P34" s="198">
        <f>IF($N$16/$C$15*(P$5-$N$5)&gt;$N$16,0,$N$16/$C$15)</f>
        <v>28.452660271915704</v>
      </c>
      <c r="Q34" s="198">
        <f>IF($N$16/$C$15*(Q$5-$N$5)&gt;$N$16,0,$N$16/$C$15)</f>
        <v>28.452660271915704</v>
      </c>
      <c r="R34" s="198">
        <f>IF($N$16/$C$15*(R$5-$N$5)&gt;$N$16,0,$N$16/$C$15)</f>
        <v>28.452660271915704</v>
      </c>
      <c r="S34" s="198">
        <f>IF($N$16/$C$15*(S$5-$N$5)&gt;$N$16,0,$N$16/$C$15)</f>
        <v>28.452660271915704</v>
      </c>
      <c r="T34" s="198">
        <f aca="true" t="shared" si="19" ref="T34:AF34">IF($N$16/$C$15*(T$5-$N$5)&gt;$N$16,0,$N$16/$C$15)</f>
        <v>28.452660271915704</v>
      </c>
      <c r="U34" s="198">
        <f t="shared" si="19"/>
        <v>28.452660271915704</v>
      </c>
      <c r="V34" s="198">
        <f t="shared" si="19"/>
        <v>28.452660271915704</v>
      </c>
      <c r="W34" s="198">
        <f t="shared" si="19"/>
        <v>28.452660271915704</v>
      </c>
      <c r="X34" s="198">
        <f t="shared" si="19"/>
        <v>28.452660271915704</v>
      </c>
      <c r="Y34" s="198">
        <f t="shared" si="19"/>
        <v>28.452660271915704</v>
      </c>
      <c r="Z34" s="198">
        <f t="shared" si="19"/>
        <v>28.452660271915704</v>
      </c>
      <c r="AA34" s="198">
        <f t="shared" si="19"/>
        <v>28.452660271915704</v>
      </c>
      <c r="AB34" s="198">
        <f t="shared" si="19"/>
        <v>28.452660271915704</v>
      </c>
      <c r="AC34" s="198">
        <f t="shared" si="19"/>
        <v>28.452660271915704</v>
      </c>
      <c r="AD34" s="198">
        <f t="shared" si="19"/>
        <v>28.452660271915704</v>
      </c>
      <c r="AE34" s="198">
        <f t="shared" si="19"/>
        <v>28.452660271915704</v>
      </c>
      <c r="AF34" s="198">
        <f t="shared" si="19"/>
        <v>28.452660271915704</v>
      </c>
    </row>
    <row r="35" spans="1:32" s="16" customFormat="1" ht="15.75" customHeight="1">
      <c r="A35" s="197" t="s">
        <v>197</v>
      </c>
      <c r="B35" s="180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>
        <f>IF($O$16/$C$15*(P$5-$O$5)&gt;$O$16,0,$O$16/$C$15)</f>
        <v>39.39793170378239</v>
      </c>
      <c r="Q35" s="198">
        <f>IF($O$16/$C$15*(Q$5-$O$5)&gt;$O$16,0,$O$16/$C$15)</f>
        <v>39.39793170378239</v>
      </c>
      <c r="R35" s="198">
        <f aca="true" t="shared" si="20" ref="R35:AF35">IF($O$16/$C$15*(R$5-$O$5)&gt;$O$16,0,$O$16/$C$15)</f>
        <v>39.39793170378239</v>
      </c>
      <c r="S35" s="198">
        <f t="shared" si="20"/>
        <v>39.39793170378239</v>
      </c>
      <c r="T35" s="198">
        <f t="shared" si="20"/>
        <v>39.39793170378239</v>
      </c>
      <c r="U35" s="198">
        <f t="shared" si="20"/>
        <v>39.39793170378239</v>
      </c>
      <c r="V35" s="198">
        <f t="shared" si="20"/>
        <v>39.39793170378239</v>
      </c>
      <c r="W35" s="198">
        <f t="shared" si="20"/>
        <v>39.39793170378239</v>
      </c>
      <c r="X35" s="198">
        <f t="shared" si="20"/>
        <v>39.39793170378239</v>
      </c>
      <c r="Y35" s="198">
        <f t="shared" si="20"/>
        <v>39.39793170378239</v>
      </c>
      <c r="Z35" s="198">
        <f t="shared" si="20"/>
        <v>39.39793170378239</v>
      </c>
      <c r="AA35" s="198">
        <f t="shared" si="20"/>
        <v>39.39793170378239</v>
      </c>
      <c r="AB35" s="198">
        <f t="shared" si="20"/>
        <v>39.39793170378239</v>
      </c>
      <c r="AC35" s="198">
        <f t="shared" si="20"/>
        <v>39.39793170378239</v>
      </c>
      <c r="AD35" s="198">
        <f t="shared" si="20"/>
        <v>39.39793170378239</v>
      </c>
      <c r="AE35" s="198">
        <f t="shared" si="20"/>
        <v>39.39793170378239</v>
      </c>
      <c r="AF35" s="198">
        <f t="shared" si="20"/>
        <v>39.39793170378239</v>
      </c>
    </row>
    <row r="36" spans="1:32" s="16" customFormat="1" ht="15.75" customHeight="1">
      <c r="A36" s="197" t="s">
        <v>198</v>
      </c>
      <c r="B36" s="180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>
        <f>IF($P$16/$C$15*(Q$5-$P$5)&gt;$P$16,0,$P$16/$C$15)</f>
        <v>40.946457902305</v>
      </c>
      <c r="R36" s="198">
        <f>IF($P$16/$C$15*(R$5-$P$5)&gt;$P$16,0,$P$16/$C$15)</f>
        <v>40.946457902305</v>
      </c>
      <c r="S36" s="198">
        <f>IF($P$16/$C$15*(S$5-$P$5)&gt;$P$16,0,$P$16/$C$15)</f>
        <v>40.946457902305</v>
      </c>
      <c r="T36" s="198">
        <f>IF($P$16/$C$15*(T$5-$P$5)&gt;$P$16,0,$P$16/$C$15)</f>
        <v>40.946457902305</v>
      </c>
      <c r="U36" s="198">
        <f>IF($P$16/$C$15*(U$5-$P$5)&gt;$P$16,0,$P$16/$C$15)</f>
        <v>40.946457902305</v>
      </c>
      <c r="V36" s="198">
        <f>IF($P$16/$C$15*(V$5-$P$5)&gt;$P$16,0,$P$16/$C$15)</f>
        <v>40.946457902305</v>
      </c>
      <c r="W36" s="198">
        <f aca="true" t="shared" si="21" ref="W36:AF36">IF($P$16/$C$15*(W$5-$P$5)&gt;$P$16,0,$P$16/$C$15)</f>
        <v>40.946457902305</v>
      </c>
      <c r="X36" s="198">
        <f t="shared" si="21"/>
        <v>40.946457902305</v>
      </c>
      <c r="Y36" s="198">
        <f t="shared" si="21"/>
        <v>40.946457902305</v>
      </c>
      <c r="Z36" s="198">
        <f t="shared" si="21"/>
        <v>40.946457902305</v>
      </c>
      <c r="AA36" s="198">
        <f t="shared" si="21"/>
        <v>40.946457902305</v>
      </c>
      <c r="AB36" s="198">
        <f t="shared" si="21"/>
        <v>40.946457902305</v>
      </c>
      <c r="AC36" s="198">
        <f t="shared" si="21"/>
        <v>40.946457902305</v>
      </c>
      <c r="AD36" s="198">
        <f t="shared" si="21"/>
        <v>40.946457902305</v>
      </c>
      <c r="AE36" s="198">
        <f t="shared" si="21"/>
        <v>40.946457902305</v>
      </c>
      <c r="AF36" s="198">
        <f t="shared" si="21"/>
        <v>40.946457902305</v>
      </c>
    </row>
    <row r="37" spans="1:32" s="16" customFormat="1" ht="15.75" customHeight="1">
      <c r="A37" s="197" t="s">
        <v>199</v>
      </c>
      <c r="B37" s="180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>
        <f>IF($Q$16/$C$15*(R$5-$Q$5)&gt;$Q$16,0,$Q$16/$C$15)</f>
        <v>42.637060990589156</v>
      </c>
      <c r="S37" s="198">
        <f aca="true" t="shared" si="22" ref="S37:AF37">IF($Q$16/$C$15*(S$5-$Q$5)&gt;$Q$16,0,$Q$16/$C$15)</f>
        <v>42.637060990589156</v>
      </c>
      <c r="T37" s="198">
        <f t="shared" si="22"/>
        <v>42.637060990589156</v>
      </c>
      <c r="U37" s="198">
        <f t="shared" si="22"/>
        <v>42.637060990589156</v>
      </c>
      <c r="V37" s="198">
        <f t="shared" si="22"/>
        <v>42.637060990589156</v>
      </c>
      <c r="W37" s="198">
        <f t="shared" si="22"/>
        <v>42.637060990589156</v>
      </c>
      <c r="X37" s="198">
        <f t="shared" si="22"/>
        <v>42.637060990589156</v>
      </c>
      <c r="Y37" s="198">
        <f t="shared" si="22"/>
        <v>42.637060990589156</v>
      </c>
      <c r="Z37" s="198">
        <f t="shared" si="22"/>
        <v>42.637060990589156</v>
      </c>
      <c r="AA37" s="198">
        <f t="shared" si="22"/>
        <v>42.637060990589156</v>
      </c>
      <c r="AB37" s="198">
        <f t="shared" si="22"/>
        <v>42.637060990589156</v>
      </c>
      <c r="AC37" s="198">
        <f t="shared" si="22"/>
        <v>42.637060990589156</v>
      </c>
      <c r="AD37" s="198">
        <f>IF($Q$16/$C$15*(AD$5-$Q$5)&gt;$Q$16,0,$Q$16/$C$15)</f>
        <v>42.637060990589156</v>
      </c>
      <c r="AE37" s="198">
        <f t="shared" si="22"/>
        <v>42.637060990589156</v>
      </c>
      <c r="AF37" s="198">
        <f t="shared" si="22"/>
        <v>42.637060990589156</v>
      </c>
    </row>
    <row r="38" spans="1:32" s="16" customFormat="1" ht="15.75" customHeight="1">
      <c r="A38" s="197" t="s">
        <v>200</v>
      </c>
      <c r="B38" s="180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>
        <f>IF($R$16/$C$15*(S$5-$R$5)&gt;$R$16,0,$R$16/$C$15)</f>
        <v>44.39253875676258</v>
      </c>
      <c r="T38" s="198">
        <f>IF($R$16/$C$15*(T$5-$R$5)&gt;$R$16,0,$R$16/$C$15)</f>
        <v>44.39253875676258</v>
      </c>
      <c r="U38" s="198">
        <f aca="true" t="shared" si="23" ref="U38:AF38">IF($R$16/$C$15*(U$5-$R$5)&gt;$R$16,0,$R$16/$C$15)</f>
        <v>44.39253875676258</v>
      </c>
      <c r="V38" s="198">
        <f t="shared" si="23"/>
        <v>44.39253875676258</v>
      </c>
      <c r="W38" s="198">
        <f t="shared" si="23"/>
        <v>44.39253875676258</v>
      </c>
      <c r="X38" s="198">
        <f t="shared" si="23"/>
        <v>44.39253875676258</v>
      </c>
      <c r="Y38" s="198">
        <f t="shared" si="23"/>
        <v>44.39253875676258</v>
      </c>
      <c r="Z38" s="198">
        <f t="shared" si="23"/>
        <v>44.39253875676258</v>
      </c>
      <c r="AA38" s="198">
        <f t="shared" si="23"/>
        <v>44.39253875676258</v>
      </c>
      <c r="AB38" s="198">
        <f t="shared" si="23"/>
        <v>44.39253875676258</v>
      </c>
      <c r="AC38" s="198">
        <f>IF($R$16/$C$15*(AC$5-$R$5)&gt;$R$16,0,$R$16/$C$15)</f>
        <v>44.39253875676258</v>
      </c>
      <c r="AD38" s="198">
        <f t="shared" si="23"/>
        <v>44.39253875676258</v>
      </c>
      <c r="AE38" s="198">
        <f t="shared" si="23"/>
        <v>44.39253875676258</v>
      </c>
      <c r="AF38" s="198">
        <f t="shared" si="23"/>
        <v>44.39253875676258</v>
      </c>
    </row>
    <row r="39" spans="1:32" s="16" customFormat="1" ht="15.75" customHeight="1">
      <c r="A39" s="197" t="s">
        <v>201</v>
      </c>
      <c r="B39" s="180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>
        <f>IF($S$16/$C$15*(T$5-$S$5)&gt;$S$16,0,$S$16/$C$15)</f>
        <v>46.22940949729512</v>
      </c>
      <c r="U39" s="198">
        <f aca="true" t="shared" si="24" ref="U39:AF39">IF($S$16/$C$15*(U$5-$S$5)&gt;$S$16,0,$S$16/$C$15)</f>
        <v>46.22940949729512</v>
      </c>
      <c r="V39" s="198">
        <f t="shared" si="24"/>
        <v>46.22940949729512</v>
      </c>
      <c r="W39" s="198">
        <f t="shared" si="24"/>
        <v>46.22940949729512</v>
      </c>
      <c r="X39" s="198">
        <f t="shared" si="24"/>
        <v>46.22940949729512</v>
      </c>
      <c r="Y39" s="198">
        <f t="shared" si="24"/>
        <v>46.22940949729512</v>
      </c>
      <c r="Z39" s="198">
        <f t="shared" si="24"/>
        <v>46.22940949729512</v>
      </c>
      <c r="AA39" s="198">
        <f>IF($S$16/$C$15*(AA$5-$S$5)&gt;$S$16,0,$S$16/$C$15)</f>
        <v>46.22940949729512</v>
      </c>
      <c r="AB39" s="198">
        <f t="shared" si="24"/>
        <v>46.22940949729512</v>
      </c>
      <c r="AC39" s="198">
        <f t="shared" si="24"/>
        <v>46.22940949729512</v>
      </c>
      <c r="AD39" s="198">
        <f t="shared" si="24"/>
        <v>46.22940949729512</v>
      </c>
      <c r="AE39" s="198">
        <f t="shared" si="24"/>
        <v>46.22940949729512</v>
      </c>
      <c r="AF39" s="198">
        <f t="shared" si="24"/>
        <v>46.22940949729512</v>
      </c>
    </row>
    <row r="40" spans="1:32" s="16" customFormat="1" ht="15.75" customHeight="1">
      <c r="A40" s="197" t="s">
        <v>202</v>
      </c>
      <c r="B40" s="180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>
        <f>IF($T$16/$C$15*(U$5-$T$5)&gt;$T$16,0,$T$16/$C$15)</f>
        <v>48.133014570572065</v>
      </c>
      <c r="V40" s="198">
        <f aca="true" t="shared" si="25" ref="V40:AF40">IF($T$16/$C$15*(V$5-$T$5)&gt;$T$16,0,$T$16/$C$15)</f>
        <v>48.133014570572065</v>
      </c>
      <c r="W40" s="198">
        <f>IF($T$16/$C$15*(W$5-$T$5)&gt;$T$16,0,$T$16/$C$15)</f>
        <v>48.133014570572065</v>
      </c>
      <c r="X40" s="198">
        <f t="shared" si="25"/>
        <v>48.133014570572065</v>
      </c>
      <c r="Y40" s="198">
        <f t="shared" si="25"/>
        <v>48.133014570572065</v>
      </c>
      <c r="Z40" s="198">
        <f t="shared" si="25"/>
        <v>48.133014570572065</v>
      </c>
      <c r="AA40" s="198">
        <f t="shared" si="25"/>
        <v>48.133014570572065</v>
      </c>
      <c r="AB40" s="198">
        <f t="shared" si="25"/>
        <v>48.133014570572065</v>
      </c>
      <c r="AC40" s="198">
        <f t="shared" si="25"/>
        <v>48.133014570572065</v>
      </c>
      <c r="AD40" s="198">
        <f t="shared" si="25"/>
        <v>48.133014570572065</v>
      </c>
      <c r="AE40" s="198">
        <f t="shared" si="25"/>
        <v>48.133014570572065</v>
      </c>
      <c r="AF40" s="198">
        <f t="shared" si="25"/>
        <v>48.133014570572065</v>
      </c>
    </row>
    <row r="41" spans="1:32" s="16" customFormat="1" ht="15.75" customHeight="1">
      <c r="A41" s="197" t="s">
        <v>203</v>
      </c>
      <c r="B41" s="180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>
        <f>IF($U$16/$C$15*(V$5-$U$5)&gt;$U$16,0,$U$16/$C$15)</f>
        <v>50.1218508839623</v>
      </c>
      <c r="W41" s="198">
        <f aca="true" t="shared" si="26" ref="W41:AF41">IF($U$16/$C$15*(W$5-$U$5)&gt;$U$16,0,$U$16/$C$15)</f>
        <v>50.1218508839623</v>
      </c>
      <c r="X41" s="198">
        <f t="shared" si="26"/>
        <v>50.1218508839623</v>
      </c>
      <c r="Y41" s="198">
        <f t="shared" si="26"/>
        <v>50.1218508839623</v>
      </c>
      <c r="Z41" s="198">
        <f t="shared" si="26"/>
        <v>50.1218508839623</v>
      </c>
      <c r="AA41" s="198">
        <f t="shared" si="26"/>
        <v>50.1218508839623</v>
      </c>
      <c r="AB41" s="198">
        <f t="shared" si="26"/>
        <v>50.1218508839623</v>
      </c>
      <c r="AC41" s="198">
        <f t="shared" si="26"/>
        <v>50.1218508839623</v>
      </c>
      <c r="AD41" s="198">
        <f t="shared" si="26"/>
        <v>50.1218508839623</v>
      </c>
      <c r="AE41" s="198">
        <f t="shared" si="26"/>
        <v>50.1218508839623</v>
      </c>
      <c r="AF41" s="198">
        <f t="shared" si="26"/>
        <v>50.1218508839623</v>
      </c>
    </row>
    <row r="42" spans="1:32" s="16" customFormat="1" ht="15.75" customHeight="1">
      <c r="A42" s="197" t="s">
        <v>204</v>
      </c>
      <c r="B42" s="180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>
        <f>IF($V$16/$C$15*(W$5-$V$5)&gt;$V$16,0,$V$16/$C$15)</f>
        <v>52.2004419763835</v>
      </c>
      <c r="X42" s="198">
        <f aca="true" t="shared" si="27" ref="X42:AF42">IF($V$16/$C$15*(X$5-$V$5)&gt;$V$16,0,$V$16/$C$15)</f>
        <v>52.2004419763835</v>
      </c>
      <c r="Y42" s="198">
        <f>IF($V$16/$C$15*(Y$5-$V$5)&gt;$V$16,0,$V$16/$C$15)</f>
        <v>52.2004419763835</v>
      </c>
      <c r="Z42" s="198">
        <f t="shared" si="27"/>
        <v>52.2004419763835</v>
      </c>
      <c r="AA42" s="198">
        <f t="shared" si="27"/>
        <v>52.2004419763835</v>
      </c>
      <c r="AB42" s="198">
        <f t="shared" si="27"/>
        <v>52.2004419763835</v>
      </c>
      <c r="AC42" s="198">
        <f t="shared" si="27"/>
        <v>52.2004419763835</v>
      </c>
      <c r="AD42" s="198">
        <f t="shared" si="27"/>
        <v>52.2004419763835</v>
      </c>
      <c r="AE42" s="198">
        <f t="shared" si="27"/>
        <v>52.2004419763835</v>
      </c>
      <c r="AF42" s="198">
        <f t="shared" si="27"/>
        <v>52.2004419763835</v>
      </c>
    </row>
    <row r="43" spans="1:32" s="16" customFormat="1" ht="15.75" customHeight="1">
      <c r="A43" s="197" t="s">
        <v>205</v>
      </c>
      <c r="B43" s="180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>
        <f>IF($W$16/$C$15*(X$5-$W$5)&gt;$W$16,0,$W$16/$C$15)</f>
        <v>54.349272311158686</v>
      </c>
      <c r="Y43" s="198">
        <f aca="true" t="shared" si="28" ref="Y43:AF43">IF($W$16/$C$15*(Y$5-$W$5)&gt;$W$16,0,$W$16/$C$15)</f>
        <v>54.349272311158686</v>
      </c>
      <c r="Z43" s="198">
        <f t="shared" si="28"/>
        <v>54.349272311158686</v>
      </c>
      <c r="AA43" s="198">
        <f t="shared" si="28"/>
        <v>54.349272311158686</v>
      </c>
      <c r="AB43" s="198">
        <f t="shared" si="28"/>
        <v>54.349272311158686</v>
      </c>
      <c r="AC43" s="198">
        <f t="shared" si="28"/>
        <v>54.349272311158686</v>
      </c>
      <c r="AD43" s="198">
        <f t="shared" si="28"/>
        <v>54.349272311158686</v>
      </c>
      <c r="AE43" s="198">
        <f t="shared" si="28"/>
        <v>54.349272311158686</v>
      </c>
      <c r="AF43" s="198">
        <f t="shared" si="28"/>
        <v>54.349272311158686</v>
      </c>
    </row>
    <row r="44" spans="1:32" s="16" customFormat="1" ht="15.75" customHeight="1">
      <c r="A44" s="197" t="s">
        <v>206</v>
      </c>
      <c r="B44" s="180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>
        <f>IF($X$16/$C$15*(Y$5-$X$5)&gt;$X$16,0,$X$16/$C$15)</f>
        <v>56.59386155004616</v>
      </c>
      <c r="Z44" s="198">
        <f>IF($X$16/$C$15*(Z$5-$X$5)&gt;$X$16,0,$X$16/$C$15)</f>
        <v>56.59386155004616</v>
      </c>
      <c r="AA44" s="198">
        <f aca="true" t="shared" si="29" ref="AA44:AF44">IF($X$16/$C$15*(AA$5-$X$5)&gt;$X$16,0,$X$16/$C$15)</f>
        <v>56.59386155004616</v>
      </c>
      <c r="AB44" s="198">
        <f t="shared" si="29"/>
        <v>56.59386155004616</v>
      </c>
      <c r="AC44" s="198">
        <f t="shared" si="29"/>
        <v>56.59386155004616</v>
      </c>
      <c r="AD44" s="198">
        <f t="shared" si="29"/>
        <v>56.59386155004616</v>
      </c>
      <c r="AE44" s="198">
        <f t="shared" si="29"/>
        <v>56.59386155004616</v>
      </c>
      <c r="AF44" s="198">
        <f t="shared" si="29"/>
        <v>56.59386155004616</v>
      </c>
    </row>
    <row r="45" spans="1:32" s="16" customFormat="1" ht="15.75" customHeight="1">
      <c r="A45" s="197" t="s">
        <v>207</v>
      </c>
      <c r="B45" s="180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>
        <f>IF($Y$16/$C$15*(Z$5-$Y$5)&gt;$Y$16,0,$Y$16/$C$15)</f>
        <v>58.92995448025913</v>
      </c>
      <c r="AA45" s="198">
        <f aca="true" t="shared" si="30" ref="AA45:AF45">IF($Y$16/$C$15*(AA$5-$Y$5)&gt;$Y$16,0,$Y$16/$C$15)</f>
        <v>58.92995448025913</v>
      </c>
      <c r="AB45" s="198">
        <f t="shared" si="30"/>
        <v>58.92995448025913</v>
      </c>
      <c r="AC45" s="198">
        <f t="shared" si="30"/>
        <v>58.92995448025913</v>
      </c>
      <c r="AD45" s="198">
        <f t="shared" si="30"/>
        <v>58.92995448025913</v>
      </c>
      <c r="AE45" s="198">
        <f t="shared" si="30"/>
        <v>58.92995448025913</v>
      </c>
      <c r="AF45" s="198">
        <f t="shared" si="30"/>
        <v>58.92995448025913</v>
      </c>
    </row>
    <row r="46" spans="1:32" s="16" customFormat="1" ht="15.75" customHeight="1">
      <c r="A46" s="197" t="s">
        <v>208</v>
      </c>
      <c r="B46" s="180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>
        <f aca="true" t="shared" si="31" ref="AA46:AF46">IF($Z$16/$C$15*(AA$5-$Z$5)&gt;$Z$16,0,$Z$16/$C$15)</f>
        <v>61.3617270172712</v>
      </c>
      <c r="AB46" s="198">
        <f t="shared" si="31"/>
        <v>61.3617270172712</v>
      </c>
      <c r="AC46" s="198">
        <f t="shared" si="31"/>
        <v>61.3617270172712</v>
      </c>
      <c r="AD46" s="198">
        <f t="shared" si="31"/>
        <v>61.3617270172712</v>
      </c>
      <c r="AE46" s="198">
        <f t="shared" si="31"/>
        <v>61.3617270172712</v>
      </c>
      <c r="AF46" s="198">
        <f t="shared" si="31"/>
        <v>61.3617270172712</v>
      </c>
    </row>
    <row r="47" spans="1:32" s="16" customFormat="1" ht="15.75" customHeight="1">
      <c r="A47" s="197" t="s">
        <v>209</v>
      </c>
      <c r="B47" s="180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>
        <f>IF($AA$16/$C$15*(AB$5-$AA$5)&gt;$AA$16,0,$AA$16/$C$15)</f>
        <v>70.34636335192472</v>
      </c>
      <c r="AC47" s="198">
        <f>IF($AA$16/$C$15*(AC$5-$AA$5)&gt;$AA$16,0,$AA$16/$C$15)</f>
        <v>70.34636335192472</v>
      </c>
      <c r="AD47" s="198">
        <f>IF($AA$16/$C$15*(AD$5-$AA$5)&gt;$AA$16,0,$AA$16/$C$15)</f>
        <v>70.34636335192472</v>
      </c>
      <c r="AE47" s="198">
        <f>IF($AA$16/$C$15*(AE$5-$AA$5)&gt;$AA$16,0,$AA$16/$C$15)</f>
        <v>70.34636335192472</v>
      </c>
      <c r="AF47" s="198">
        <f>IF($AA$16/$C$15*(AF$5-$AA$5)&gt;$AA$16,0,$AA$16/$C$15)</f>
        <v>70.34636335192472</v>
      </c>
    </row>
    <row r="48" spans="1:32" s="16" customFormat="1" ht="15.75" customHeight="1">
      <c r="A48" s="197" t="s">
        <v>210</v>
      </c>
      <c r="B48" s="180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>
        <f>IF($AB$16/$C$15*(AC$5-$AB$5)&gt;$AB$16,0,$AB$16/$C$15)</f>
        <v>79.83803983543403</v>
      </c>
      <c r="AD48" s="198">
        <f>IF($AB$16/$C$15*(AD$5-$AB$5)&gt;$AB$16,0,$AB$16/$C$15)</f>
        <v>79.83803983543403</v>
      </c>
      <c r="AE48" s="198">
        <f>IF($AB$16/$C$15*(AE$5-$AB$5)&gt;$AB$16,0,$AB$16/$C$15)</f>
        <v>79.83803983543403</v>
      </c>
      <c r="AF48" s="198">
        <f>IF($AB$16/$C$15*(AF$5-$AB$5)&gt;$AB$16,0,$AB$16/$C$15)</f>
        <v>79.83803983543403</v>
      </c>
    </row>
    <row r="49" spans="1:32" s="16" customFormat="1" ht="15.75" customHeight="1">
      <c r="A49" s="197" t="s">
        <v>211</v>
      </c>
      <c r="B49" s="180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>
        <f>IF($AC$16/$C$15*(AD$5-$AC$5)&gt;$AC$16,0,$AC$16/$C$15)</f>
        <v>83.13527028965842</v>
      </c>
      <c r="AE49" s="198">
        <f>IF($AC$16/$C$15*(AE$5-$AC$5)&gt;$AC$16,0,$AC$16/$C$15)</f>
        <v>83.13527028965842</v>
      </c>
      <c r="AF49" s="198">
        <f>IF($AC$16/$C$15*(AF$5-$AC$5)&gt;$AC$16,0,$AC$16/$C$15)</f>
        <v>83.13527028965842</v>
      </c>
    </row>
    <row r="50" spans="1:32" s="16" customFormat="1" ht="15.75" customHeight="1">
      <c r="A50" s="197" t="s">
        <v>212</v>
      </c>
      <c r="B50" s="180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>
        <f>IF($AD$16/$C$15*(AE$5-$AD$5)&gt;$AD$16,0,$AD$16/$C$15)</f>
        <v>86.56707799053765</v>
      </c>
      <c r="AF50" s="198">
        <f>IF($AD$16/$C$15*(AF$5-$AD$5)&gt;$AD$16,0,$AD$16/$C$15)</f>
        <v>86.56707799053765</v>
      </c>
    </row>
    <row r="51" spans="1:32" s="16" customFormat="1" ht="15.75" customHeight="1">
      <c r="A51" s="197" t="s">
        <v>213</v>
      </c>
      <c r="B51" s="180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>
        <f>IF($AE$16/$C$15*(AF$5-$AE$5)&gt;$AE$16,0,$AE$16/$C$15)</f>
        <v>97.72498349880314</v>
      </c>
    </row>
    <row r="52" spans="1:32" s="16" customFormat="1" ht="15">
      <c r="A52" s="196" t="s">
        <v>39</v>
      </c>
      <c r="B52" s="193"/>
      <c r="C52" s="195">
        <f>SUM(C23:C51)</f>
        <v>0</v>
      </c>
      <c r="D52" s="195">
        <f>SUM(D23:D51)</f>
        <v>8.25</v>
      </c>
      <c r="E52" s="195">
        <f>SUM(E23:E51)</f>
        <v>33.20704464000001</v>
      </c>
      <c r="F52" s="195">
        <f>SUM(F23:F51)</f>
        <v>60.39641139000002</v>
      </c>
      <c r="G52" s="195">
        <f aca="true" t="shared" si="32" ref="G52:AA52">SUM(G23:G51)</f>
        <v>79.90390995477111</v>
      </c>
      <c r="H52" s="195">
        <f t="shared" si="32"/>
        <v>86.69790225642049</v>
      </c>
      <c r="I52" s="195">
        <f t="shared" si="32"/>
        <v>93.98132561963403</v>
      </c>
      <c r="J52" s="195">
        <f t="shared" si="32"/>
        <v>101.72911685375747</v>
      </c>
      <c r="K52" s="195">
        <f t="shared" si="32"/>
        <v>110.03856680299486</v>
      </c>
      <c r="L52" s="195">
        <f t="shared" si="32"/>
        <v>118.88589486466205</v>
      </c>
      <c r="M52" s="195">
        <f t="shared" si="32"/>
        <v>128.37399268813454</v>
      </c>
      <c r="N52" s="195">
        <f t="shared" si="32"/>
        <v>138.5477042340613</v>
      </c>
      <c r="O52" s="195">
        <f>SUM(O23:O51)</f>
        <v>167.00036450597702</v>
      </c>
      <c r="P52" s="195">
        <f>SUM(P23:P51)</f>
        <v>206.3982962097594</v>
      </c>
      <c r="Q52" s="195">
        <f t="shared" si="32"/>
        <v>247.34475411206438</v>
      </c>
      <c r="R52" s="195">
        <f t="shared" si="32"/>
        <v>289.9818151026535</v>
      </c>
      <c r="S52" s="195">
        <f t="shared" si="32"/>
        <v>334.3743538594161</v>
      </c>
      <c r="T52" s="195">
        <f t="shared" si="32"/>
        <v>380.6037633567112</v>
      </c>
      <c r="U52" s="195">
        <f t="shared" si="32"/>
        <v>428.7367779272833</v>
      </c>
      <c r="V52" s="195">
        <f t="shared" si="32"/>
        <v>478.8586288112456</v>
      </c>
      <c r="W52" s="195">
        <f t="shared" si="32"/>
        <v>531.059070787629</v>
      </c>
      <c r="X52" s="195">
        <f t="shared" si="32"/>
        <v>577.1583430987877</v>
      </c>
      <c r="Y52" s="195">
        <f t="shared" si="32"/>
        <v>608.7951600088339</v>
      </c>
      <c r="Z52" s="195">
        <f t="shared" si="32"/>
        <v>640.535747739093</v>
      </c>
      <c r="AA52" s="195">
        <f t="shared" si="32"/>
        <v>682.3899761915932</v>
      </c>
      <c r="AB52" s="195">
        <f>SUM(AB23:AB51)</f>
        <v>745.9423472418686</v>
      </c>
      <c r="AC52" s="195">
        <f>SUM(AC23:AC51)</f>
        <v>818.496963714089</v>
      </c>
      <c r="AD52" s="195">
        <f>SUM(AD23:AD51)</f>
        <v>893.884442769624</v>
      </c>
      <c r="AE52" s="195">
        <f>SUM(AE23:AE51)</f>
        <v>972.1420708109242</v>
      </c>
      <c r="AF52" s="195">
        <f>SUM(AF23:AF51)</f>
        <v>1061.0197262480601</v>
      </c>
    </row>
    <row r="53" spans="1:32" s="16" customFormat="1" ht="15">
      <c r="A53" s="99" t="s">
        <v>23</v>
      </c>
      <c r="B53" s="193"/>
      <c r="C53" s="201">
        <f>'конкурсные предложения'!$B$7</f>
        <v>0.05</v>
      </c>
      <c r="D53" s="202">
        <f>C53</f>
        <v>0.05</v>
      </c>
      <c r="E53" s="202">
        <f>D53</f>
        <v>0.05</v>
      </c>
      <c r="F53" s="202">
        <f>E53</f>
        <v>0.05</v>
      </c>
      <c r="G53" s="202">
        <f aca="true" t="shared" si="33" ref="G53:V53">F53</f>
        <v>0.05</v>
      </c>
      <c r="H53" s="202">
        <f t="shared" si="33"/>
        <v>0.05</v>
      </c>
      <c r="I53" s="202">
        <f t="shared" si="33"/>
        <v>0.05</v>
      </c>
      <c r="J53" s="202">
        <f t="shared" si="33"/>
        <v>0.05</v>
      </c>
      <c r="K53" s="202">
        <f t="shared" si="33"/>
        <v>0.05</v>
      </c>
      <c r="L53" s="202">
        <f t="shared" si="33"/>
        <v>0.05</v>
      </c>
      <c r="M53" s="202">
        <f t="shared" si="33"/>
        <v>0.05</v>
      </c>
      <c r="N53" s="202">
        <f t="shared" si="33"/>
        <v>0.05</v>
      </c>
      <c r="O53" s="202">
        <f t="shared" si="33"/>
        <v>0.05</v>
      </c>
      <c r="P53" s="202">
        <f t="shared" si="33"/>
        <v>0.05</v>
      </c>
      <c r="Q53" s="202">
        <f t="shared" si="33"/>
        <v>0.05</v>
      </c>
      <c r="R53" s="202">
        <f t="shared" si="33"/>
        <v>0.05</v>
      </c>
      <c r="S53" s="202">
        <f t="shared" si="33"/>
        <v>0.05</v>
      </c>
      <c r="T53" s="202">
        <f t="shared" si="33"/>
        <v>0.05</v>
      </c>
      <c r="U53" s="202">
        <f t="shared" si="33"/>
        <v>0.05</v>
      </c>
      <c r="V53" s="202">
        <f t="shared" si="33"/>
        <v>0.05</v>
      </c>
      <c r="W53" s="202">
        <f aca="true" t="shared" si="34" ref="W53:AF53">V53</f>
        <v>0.05</v>
      </c>
      <c r="X53" s="202">
        <f t="shared" si="34"/>
        <v>0.05</v>
      </c>
      <c r="Y53" s="202">
        <f t="shared" si="34"/>
        <v>0.05</v>
      </c>
      <c r="Z53" s="202">
        <f t="shared" si="34"/>
        <v>0.05</v>
      </c>
      <c r="AA53" s="202">
        <f t="shared" si="34"/>
        <v>0.05</v>
      </c>
      <c r="AB53" s="202">
        <f t="shared" si="34"/>
        <v>0.05</v>
      </c>
      <c r="AC53" s="202">
        <f t="shared" si="34"/>
        <v>0.05</v>
      </c>
      <c r="AD53" s="202">
        <f t="shared" si="34"/>
        <v>0.05</v>
      </c>
      <c r="AE53" s="202">
        <f t="shared" si="34"/>
        <v>0.05</v>
      </c>
      <c r="AF53" s="202">
        <f t="shared" si="34"/>
        <v>0.05</v>
      </c>
    </row>
    <row r="54" spans="1:32" s="16" customFormat="1" ht="16.5" customHeight="1">
      <c r="A54" s="99" t="s">
        <v>3</v>
      </c>
      <c r="B54" s="180"/>
      <c r="C54" s="194">
        <f>C53*'конкурсная документация'!B43</f>
        <v>75</v>
      </c>
      <c r="D54" s="195">
        <f aca="true" t="shared" si="35" ref="D54:AF54">D53*C86</f>
        <v>87.48552495804611</v>
      </c>
      <c r="E54" s="195">
        <f t="shared" si="35"/>
        <v>104.11806623321496</v>
      </c>
      <c r="F54" s="195">
        <f t="shared" si="35"/>
        <v>115.95438701415941</v>
      </c>
      <c r="G54" s="195">
        <f t="shared" si="35"/>
        <v>109.77000882682046</v>
      </c>
      <c r="H54" s="195">
        <f t="shared" si="35"/>
        <v>117.5406784424667</v>
      </c>
      <c r="I54" s="195">
        <f t="shared" si="35"/>
        <v>124.25645622518421</v>
      </c>
      <c r="J54" s="195">
        <f t="shared" si="35"/>
        <v>131.40337324428444</v>
      </c>
      <c r="K54" s="195">
        <f t="shared" si="35"/>
        <v>139.00616383785757</v>
      </c>
      <c r="L54" s="195">
        <f t="shared" si="35"/>
        <v>147.94018295576694</v>
      </c>
      <c r="M54" s="195">
        <f t="shared" si="35"/>
        <v>250.33001078953959</v>
      </c>
      <c r="N54" s="195">
        <f t="shared" si="35"/>
        <v>166.48723134722306</v>
      </c>
      <c r="O54" s="195">
        <f t="shared" si="35"/>
        <v>175.86987184529423</v>
      </c>
      <c r="P54" s="195">
        <f t="shared" si="35"/>
        <v>190.56059529731021</v>
      </c>
      <c r="Q54" s="195">
        <f t="shared" si="35"/>
        <v>209.46759529734283</v>
      </c>
      <c r="R54" s="195">
        <f t="shared" si="35"/>
        <v>228.95964571861248</v>
      </c>
      <c r="S54" s="195">
        <f t="shared" si="35"/>
        <v>249.81304331513672</v>
      </c>
      <c r="T54" s="195">
        <f t="shared" si="35"/>
        <v>272.0572848947787</v>
      </c>
      <c r="U54" s="195">
        <f t="shared" si="35"/>
        <v>295.7203491459659</v>
      </c>
      <c r="V54" s="195">
        <f t="shared" si="35"/>
        <v>321.07429126208626</v>
      </c>
      <c r="W54" s="195">
        <f t="shared" si="35"/>
        <v>347.67327927306184</v>
      </c>
      <c r="X54" s="195">
        <f t="shared" si="35"/>
        <v>375.77818620471004</v>
      </c>
      <c r="Y54" s="195">
        <f t="shared" si="35"/>
        <v>405.0072705641531</v>
      </c>
      <c r="Z54" s="195">
        <f t="shared" si="35"/>
        <v>435.087459226921</v>
      </c>
      <c r="AA54" s="195">
        <f t="shared" si="35"/>
        <v>466.89042736056456</v>
      </c>
      <c r="AB54" s="195">
        <f t="shared" si="35"/>
        <v>501.4038000297317</v>
      </c>
      <c r="AC54" s="195">
        <f t="shared" si="35"/>
        <v>541.2174659843007</v>
      </c>
      <c r="AD54" s="195">
        <f t="shared" si="35"/>
        <v>585.8012462258934</v>
      </c>
      <c r="AE54" s="195">
        <f t="shared" si="35"/>
        <v>632.7540131578371</v>
      </c>
      <c r="AF54" s="195">
        <f t="shared" si="35"/>
        <v>682.4020331971182</v>
      </c>
    </row>
    <row r="55" spans="1:32" s="236" customFormat="1" ht="15">
      <c r="A55" s="177" t="s">
        <v>119</v>
      </c>
      <c r="B55" s="87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</row>
    <row r="56" spans="1:32" s="16" customFormat="1" ht="15.75" customHeight="1">
      <c r="A56" s="99" t="s">
        <v>15</v>
      </c>
      <c r="B56" s="203"/>
      <c r="C56" s="201">
        <f>'конкурсные предложения'!B8</f>
        <v>0</v>
      </c>
      <c r="D56" s="201">
        <f>'конкурсные предложения'!C8</f>
        <v>0</v>
      </c>
      <c r="E56" s="201">
        <f>'конкурсные предложения'!D8</f>
        <v>0</v>
      </c>
      <c r="F56" s="201">
        <f>E56</f>
        <v>0</v>
      </c>
      <c r="G56" s="202">
        <f>F56</f>
        <v>0</v>
      </c>
      <c r="H56" s="202">
        <f>G56</f>
        <v>0</v>
      </c>
      <c r="I56" s="202">
        <f>H56</f>
        <v>0</v>
      </c>
      <c r="J56" s="202">
        <f aca="true" t="shared" si="36" ref="J56:U56">I56</f>
        <v>0</v>
      </c>
      <c r="K56" s="202">
        <f t="shared" si="36"/>
        <v>0</v>
      </c>
      <c r="L56" s="202">
        <f t="shared" si="36"/>
        <v>0</v>
      </c>
      <c r="M56" s="202">
        <f t="shared" si="36"/>
        <v>0</v>
      </c>
      <c r="N56" s="202">
        <f t="shared" si="36"/>
        <v>0</v>
      </c>
      <c r="O56" s="202">
        <f t="shared" si="36"/>
        <v>0</v>
      </c>
      <c r="P56" s="202">
        <f t="shared" si="36"/>
        <v>0</v>
      </c>
      <c r="Q56" s="202">
        <f t="shared" si="36"/>
        <v>0</v>
      </c>
      <c r="R56" s="202">
        <f t="shared" si="36"/>
        <v>0</v>
      </c>
      <c r="S56" s="202">
        <f t="shared" si="36"/>
        <v>0</v>
      </c>
      <c r="T56" s="202">
        <f t="shared" si="36"/>
        <v>0</v>
      </c>
      <c r="U56" s="202">
        <f t="shared" si="36"/>
        <v>0</v>
      </c>
      <c r="V56" s="202">
        <f>U56</f>
        <v>0</v>
      </c>
      <c r="W56" s="202">
        <f aca="true" t="shared" si="37" ref="W56:AF56">V56</f>
        <v>0</v>
      </c>
      <c r="X56" s="202">
        <f t="shared" si="37"/>
        <v>0</v>
      </c>
      <c r="Y56" s="202">
        <f t="shared" si="37"/>
        <v>0</v>
      </c>
      <c r="Z56" s="202">
        <f t="shared" si="37"/>
        <v>0</v>
      </c>
      <c r="AA56" s="202">
        <f t="shared" si="37"/>
        <v>0</v>
      </c>
      <c r="AB56" s="202">
        <f t="shared" si="37"/>
        <v>0</v>
      </c>
      <c r="AC56" s="202">
        <f t="shared" si="37"/>
        <v>0</v>
      </c>
      <c r="AD56" s="202">
        <f t="shared" si="37"/>
        <v>0</v>
      </c>
      <c r="AE56" s="202">
        <f t="shared" si="37"/>
        <v>0</v>
      </c>
      <c r="AF56" s="202">
        <f t="shared" si="37"/>
        <v>0</v>
      </c>
    </row>
    <row r="57" spans="1:32" s="16" customFormat="1" ht="15">
      <c r="A57" s="204" t="s">
        <v>4</v>
      </c>
      <c r="B57" s="193"/>
      <c r="C57" s="195">
        <f aca="true" t="shared" si="38" ref="C57:AF57">C18*C56</f>
        <v>0</v>
      </c>
      <c r="D57" s="195">
        <f t="shared" si="38"/>
        <v>0</v>
      </c>
      <c r="E57" s="195">
        <f t="shared" si="38"/>
        <v>0</v>
      </c>
      <c r="F57" s="195">
        <f t="shared" si="38"/>
        <v>0</v>
      </c>
      <c r="G57" s="195">
        <f t="shared" si="38"/>
        <v>0</v>
      </c>
      <c r="H57" s="195">
        <f t="shared" si="38"/>
        <v>0</v>
      </c>
      <c r="I57" s="195">
        <f t="shared" si="38"/>
        <v>0</v>
      </c>
      <c r="J57" s="195">
        <f t="shared" si="38"/>
        <v>0</v>
      </c>
      <c r="K57" s="195">
        <f t="shared" si="38"/>
        <v>0</v>
      </c>
      <c r="L57" s="195">
        <f t="shared" si="38"/>
        <v>0</v>
      </c>
      <c r="M57" s="195">
        <f t="shared" si="38"/>
        <v>0</v>
      </c>
      <c r="N57" s="195">
        <f t="shared" si="38"/>
        <v>0</v>
      </c>
      <c r="O57" s="195">
        <f t="shared" si="38"/>
        <v>0</v>
      </c>
      <c r="P57" s="195">
        <f t="shared" si="38"/>
        <v>0</v>
      </c>
      <c r="Q57" s="195">
        <f t="shared" si="38"/>
        <v>0</v>
      </c>
      <c r="R57" s="195">
        <f t="shared" si="38"/>
        <v>0</v>
      </c>
      <c r="S57" s="195">
        <f t="shared" si="38"/>
        <v>0</v>
      </c>
      <c r="T57" s="195">
        <f t="shared" si="38"/>
        <v>0</v>
      </c>
      <c r="U57" s="195">
        <f t="shared" si="38"/>
        <v>0</v>
      </c>
      <c r="V57" s="195">
        <f t="shared" si="38"/>
        <v>0</v>
      </c>
      <c r="W57" s="195">
        <f t="shared" si="38"/>
        <v>0</v>
      </c>
      <c r="X57" s="195">
        <f t="shared" si="38"/>
        <v>0</v>
      </c>
      <c r="Y57" s="195">
        <f t="shared" si="38"/>
        <v>0</v>
      </c>
      <c r="Z57" s="195">
        <f t="shared" si="38"/>
        <v>0</v>
      </c>
      <c r="AA57" s="195">
        <f t="shared" si="38"/>
        <v>0</v>
      </c>
      <c r="AB57" s="195">
        <f t="shared" si="38"/>
        <v>0</v>
      </c>
      <c r="AC57" s="195">
        <f t="shared" si="38"/>
        <v>0</v>
      </c>
      <c r="AD57" s="195">
        <f t="shared" si="38"/>
        <v>0</v>
      </c>
      <c r="AE57" s="195">
        <f t="shared" si="38"/>
        <v>0</v>
      </c>
      <c r="AF57" s="195">
        <f t="shared" si="38"/>
        <v>0</v>
      </c>
    </row>
    <row r="58" spans="1:32" s="16" customFormat="1" ht="29.25" customHeight="1">
      <c r="A58" s="99" t="s">
        <v>16</v>
      </c>
      <c r="B58" s="205"/>
      <c r="C58" s="201">
        <f>'конкурсные предложения'!B$9</f>
        <v>0.01</v>
      </c>
      <c r="D58" s="201">
        <f>'конкурсные предложения'!C$9</f>
        <v>0.02</v>
      </c>
      <c r="E58" s="201">
        <f>'конкурсные предложения'!D$9</f>
        <v>0.03</v>
      </c>
      <c r="F58" s="201">
        <f>'конкурсные предложения'!E$9</f>
        <v>0.04</v>
      </c>
      <c r="G58" s="201">
        <f>'конкурсные предложения'!F$9</f>
        <v>0.05</v>
      </c>
      <c r="H58" s="201">
        <f>'конкурсные предложения'!G$9</f>
        <v>0.06</v>
      </c>
      <c r="I58" s="201">
        <f>'конкурсные предложения'!H$9</f>
        <v>0.07</v>
      </c>
      <c r="J58" s="201">
        <f>'конкурсные предложения'!I$9</f>
        <v>0.08</v>
      </c>
      <c r="K58" s="201">
        <f>'конкурсные предложения'!J$9</f>
        <v>0.09</v>
      </c>
      <c r="L58" s="201">
        <f>'конкурсные предложения'!K$9</f>
        <v>0.1</v>
      </c>
      <c r="M58" s="201">
        <f>'конкурсные предложения'!L$9</f>
        <v>0.11</v>
      </c>
      <c r="N58" s="201">
        <f>'конкурсные предложения'!M$9</f>
        <v>0.12</v>
      </c>
      <c r="O58" s="201">
        <f>'конкурсные предложения'!N$9</f>
        <v>0.13</v>
      </c>
      <c r="P58" s="201">
        <f>'конкурсные предложения'!O$9</f>
        <v>0.14</v>
      </c>
      <c r="Q58" s="201">
        <f>'конкурсные предложения'!P$9</f>
        <v>0.15</v>
      </c>
      <c r="R58" s="201">
        <f>'конкурсные предложения'!Q$9</f>
        <v>0.16</v>
      </c>
      <c r="S58" s="201">
        <f>'конкурсные предложения'!R$9</f>
        <v>0.17</v>
      </c>
      <c r="T58" s="201">
        <f>'конкурсные предложения'!S$9</f>
        <v>0.18</v>
      </c>
      <c r="U58" s="201">
        <f>'конкурсные предложения'!T$9</f>
        <v>0.19</v>
      </c>
      <c r="V58" s="201">
        <f>'конкурсные предложения'!U$9</f>
        <v>0.2</v>
      </c>
      <c r="W58" s="201">
        <f>'конкурсные предложения'!V$9</f>
        <v>0.21</v>
      </c>
      <c r="X58" s="201">
        <f>'конкурсные предложения'!W$9</f>
        <v>0.22</v>
      </c>
      <c r="Y58" s="201">
        <f>'конкурсные предложения'!X$9</f>
        <v>0.23</v>
      </c>
      <c r="Z58" s="201">
        <f>'конкурсные предложения'!Y$9</f>
        <v>0.24</v>
      </c>
      <c r="AA58" s="201">
        <f>'конкурсные предложения'!Z$9</f>
        <v>0.25</v>
      </c>
      <c r="AB58" s="201">
        <f>'конкурсные предложения'!AA$9</f>
        <v>0.26</v>
      </c>
      <c r="AC58" s="201">
        <f>'конкурсные предложения'!AB$9</f>
        <v>0.27</v>
      </c>
      <c r="AD58" s="201">
        <f>'конкурсные предложения'!AC$9</f>
        <v>0.28</v>
      </c>
      <c r="AE58" s="201">
        <f>'конкурсные предложения'!AD$9</f>
        <v>0.29</v>
      </c>
      <c r="AF58" s="201">
        <f>'конкурсные предложения'!AE$9</f>
        <v>0.3</v>
      </c>
    </row>
    <row r="59" spans="1:32" s="16" customFormat="1" ht="15">
      <c r="A59" s="99" t="s">
        <v>5</v>
      </c>
      <c r="B59" s="180"/>
      <c r="C59" s="195">
        <f aca="true" t="shared" si="39" ref="C59:AF59">(C21+C54)*C58</f>
        <v>0.75</v>
      </c>
      <c r="D59" s="195">
        <f t="shared" si="39"/>
        <v>5.0497104991609225</v>
      </c>
      <c r="E59" s="195">
        <f t="shared" si="39"/>
        <v>22.80026877099645</v>
      </c>
      <c r="F59" s="195">
        <f t="shared" si="39"/>
        <v>51.29702280696639</v>
      </c>
      <c r="G59" s="195">
        <f t="shared" si="39"/>
        <v>80.29973759461214</v>
      </c>
      <c r="H59" s="195">
        <f t="shared" si="39"/>
        <v>100.18448145516633</v>
      </c>
      <c r="I59" s="195">
        <f t="shared" si="39"/>
        <v>121.47993902636715</v>
      </c>
      <c r="J59" s="195">
        <f t="shared" si="39"/>
        <v>144.2839293166887</v>
      </c>
      <c r="K59" s="195">
        <f t="shared" si="39"/>
        <v>168.80506102648545</v>
      </c>
      <c r="L59" s="195">
        <f t="shared" si="39"/>
        <v>195.14538027314302</v>
      </c>
      <c r="M59" s="195">
        <f t="shared" si="39"/>
        <v>233.7191661386989</v>
      </c>
      <c r="N59" s="195">
        <f t="shared" si="39"/>
        <v>253.91725811496894</v>
      </c>
      <c r="O59" s="195">
        <f t="shared" si="39"/>
        <v>332.26248804585185</v>
      </c>
      <c r="P59" s="195">
        <f t="shared" si="39"/>
        <v>446.811999995492</v>
      </c>
      <c r="Q59" s="195">
        <f t="shared" si="39"/>
        <v>573.4428221277687</v>
      </c>
      <c r="R59" s="195">
        <f t="shared" si="39"/>
        <v>711.6545061823116</v>
      </c>
      <c r="S59" s="195">
        <f t="shared" si="39"/>
        <v>861.3157136156568</v>
      </c>
      <c r="T59" s="195">
        <f t="shared" si="39"/>
        <v>1022.2237978082455</v>
      </c>
      <c r="U59" s="195">
        <f t="shared" si="39"/>
        <v>1194.1007313357168</v>
      </c>
      <c r="V59" s="195">
        <f t="shared" si="39"/>
        <v>1376.7589746217398</v>
      </c>
      <c r="W59" s="195">
        <f t="shared" si="39"/>
        <v>1569.8642550855805</v>
      </c>
      <c r="X59" s="195">
        <f t="shared" si="39"/>
        <v>1773.106577924724</v>
      </c>
      <c r="Y59" s="195">
        <f t="shared" si="39"/>
        <v>1988.0103650869194</v>
      </c>
      <c r="Z59" s="195">
        <f t="shared" si="39"/>
        <v>2218.417786733756</v>
      </c>
      <c r="AA59" s="195">
        <f t="shared" si="39"/>
        <v>2465.477301365989</v>
      </c>
      <c r="AB59" s="195">
        <f t="shared" si="39"/>
        <v>2761.4495659348067</v>
      </c>
      <c r="AC59" s="195">
        <f t="shared" si="39"/>
        <v>3108.1298357883798</v>
      </c>
      <c r="AD59" s="195">
        <f t="shared" si="39"/>
        <v>3472.1075778821823</v>
      </c>
      <c r="AE59" s="195">
        <f t="shared" si="39"/>
        <v>3852.5902863015936</v>
      </c>
      <c r="AF59" s="195">
        <f t="shared" si="39"/>
        <v>4295.039912969872</v>
      </c>
    </row>
    <row r="60" spans="1:32" s="16" customFormat="1" ht="30">
      <c r="A60" s="99" t="s">
        <v>6</v>
      </c>
      <c r="B60" s="193"/>
      <c r="C60" s="195">
        <f>C57+C59</f>
        <v>0.75</v>
      </c>
      <c r="D60" s="195">
        <f aca="true" t="shared" si="40" ref="D60:AF60">D57+D59</f>
        <v>5.0497104991609225</v>
      </c>
      <c r="E60" s="195">
        <f t="shared" si="40"/>
        <v>22.80026877099645</v>
      </c>
      <c r="F60" s="195">
        <f t="shared" si="40"/>
        <v>51.29702280696639</v>
      </c>
      <c r="G60" s="195">
        <f t="shared" si="40"/>
        <v>80.29973759461214</v>
      </c>
      <c r="H60" s="195">
        <f t="shared" si="40"/>
        <v>100.18448145516633</v>
      </c>
      <c r="I60" s="195">
        <f t="shared" si="40"/>
        <v>121.47993902636715</v>
      </c>
      <c r="J60" s="195">
        <f t="shared" si="40"/>
        <v>144.2839293166887</v>
      </c>
      <c r="K60" s="195">
        <f t="shared" si="40"/>
        <v>168.80506102648545</v>
      </c>
      <c r="L60" s="195">
        <f t="shared" si="40"/>
        <v>195.14538027314302</v>
      </c>
      <c r="M60" s="195">
        <f t="shared" si="40"/>
        <v>233.7191661386989</v>
      </c>
      <c r="N60" s="195">
        <f t="shared" si="40"/>
        <v>253.91725811496894</v>
      </c>
      <c r="O60" s="195">
        <f t="shared" si="40"/>
        <v>332.26248804585185</v>
      </c>
      <c r="P60" s="195">
        <f t="shared" si="40"/>
        <v>446.811999995492</v>
      </c>
      <c r="Q60" s="195">
        <f t="shared" si="40"/>
        <v>573.4428221277687</v>
      </c>
      <c r="R60" s="195">
        <f t="shared" si="40"/>
        <v>711.6545061823116</v>
      </c>
      <c r="S60" s="195">
        <f t="shared" si="40"/>
        <v>861.3157136156568</v>
      </c>
      <c r="T60" s="195">
        <f t="shared" si="40"/>
        <v>1022.2237978082455</v>
      </c>
      <c r="U60" s="195">
        <f t="shared" si="40"/>
        <v>1194.1007313357168</v>
      </c>
      <c r="V60" s="195">
        <f t="shared" si="40"/>
        <v>1376.7589746217398</v>
      </c>
      <c r="W60" s="195">
        <f t="shared" si="40"/>
        <v>1569.8642550855805</v>
      </c>
      <c r="X60" s="195">
        <f t="shared" si="40"/>
        <v>1773.106577924724</v>
      </c>
      <c r="Y60" s="195">
        <f t="shared" si="40"/>
        <v>1988.0103650869194</v>
      </c>
      <c r="Z60" s="195">
        <f t="shared" si="40"/>
        <v>2218.417786733756</v>
      </c>
      <c r="AA60" s="195">
        <f t="shared" si="40"/>
        <v>2465.477301365989</v>
      </c>
      <c r="AB60" s="195">
        <f t="shared" si="40"/>
        <v>2761.4495659348067</v>
      </c>
      <c r="AC60" s="195">
        <f t="shared" si="40"/>
        <v>3108.1298357883798</v>
      </c>
      <c r="AD60" s="195">
        <f t="shared" si="40"/>
        <v>3472.1075778821823</v>
      </c>
      <c r="AE60" s="195">
        <f t="shared" si="40"/>
        <v>3852.5902863015936</v>
      </c>
      <c r="AF60" s="195">
        <f t="shared" si="40"/>
        <v>4295.039912969872</v>
      </c>
    </row>
    <row r="61" spans="1:32" s="236" customFormat="1" ht="15">
      <c r="A61" s="177" t="s">
        <v>7</v>
      </c>
      <c r="B61" s="87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</row>
    <row r="62" spans="1:32" s="16" customFormat="1" ht="15">
      <c r="A62" s="99" t="s">
        <v>117</v>
      </c>
      <c r="B62" s="191"/>
      <c r="C62" s="206">
        <f>'конкурсные предложения'!B6*C12</f>
        <v>969.1</v>
      </c>
      <c r="D62" s="195">
        <f>C62*(1+D63)*(1+C66)*(1-0.01)</f>
        <v>1253.2280062500001</v>
      </c>
      <c r="E62" s="195">
        <f>D62*(1+E63)*(1+D66)*(1-0.01)</f>
        <v>1413.7727799906563</v>
      </c>
      <c r="F62" s="206">
        <f>'конкурсные предложения'!E6*F12</f>
        <v>1195.3447220000003</v>
      </c>
      <c r="G62" s="195">
        <f>F62*(1+G63)*(1+F66)*(1-0.01)</f>
        <v>1266.2286640146003</v>
      </c>
      <c r="H62" s="195">
        <f>G62*(1+H63)*(1+G66)*(1-0.01)</f>
        <v>1341.3160237906663</v>
      </c>
      <c r="I62" s="195">
        <f>H62*(1+I63)*(1+H66)*(1-0.01)</f>
        <v>1420.8560640014528</v>
      </c>
      <c r="J62" s="195">
        <f>I62*(1+J63)*(1+I66)*(1-0.01)</f>
        <v>1505.112828596739</v>
      </c>
      <c r="K62" s="206">
        <f>'конкурсные предложения'!J6*K12</f>
        <v>1611.0883591486393</v>
      </c>
      <c r="L62" s="195">
        <f>K62*(1+L63)*(1+K66)*(1-0.01)</f>
        <v>1706.6258988461536</v>
      </c>
      <c r="M62" s="195">
        <f>L62*(1+M63)*(1+L66)*(1-0.01)</f>
        <v>1807.8288146477305</v>
      </c>
      <c r="N62" s="195">
        <f>M62*(1+N63)*(1+M66)*(1-0.01)</f>
        <v>1915.033063356341</v>
      </c>
      <c r="O62" s="195">
        <f>N62*(1+O63)*(1+N66)*(1-0.01)</f>
        <v>2028.594524013372</v>
      </c>
      <c r="P62" s="206">
        <f>'конкурсные предложения'!O6*P12</f>
        <v>2165.1458574438557</v>
      </c>
      <c r="Q62" s="195">
        <f>P62*(1+Q63)*(1+P66)*(1-0.01)</f>
        <v>2293.5390067902763</v>
      </c>
      <c r="R62" s="195">
        <f>Q62*(1+R63)*(1+Q66)*(1-0.01)</f>
        <v>2429.5458698929397</v>
      </c>
      <c r="S62" s="195">
        <f>R62*(1+S63)*(1+R66)*(1-0.01)</f>
        <v>2573.617939977591</v>
      </c>
      <c r="T62" s="195">
        <f>S62*(1+T63)*(1+S66)*(1-0.01)</f>
        <v>2726.2334838182624</v>
      </c>
      <c r="U62" s="206">
        <f>'конкурсные предложения'!T6*U12</f>
        <v>2892.844151067236</v>
      </c>
      <c r="V62" s="195">
        <f>U62*(1+V63)*(1+U66)*(1-0.01)</f>
        <v>3064.389809225523</v>
      </c>
      <c r="W62" s="195">
        <f>V62*(1+W63)*(1+V66)*(1-0.01)</f>
        <v>3246.108124912597</v>
      </c>
      <c r="X62" s="195">
        <f>W62*(1+X63)*(1+W66)*(1-0.01)</f>
        <v>3438.602336719914</v>
      </c>
      <c r="Y62" s="195">
        <f>X62*(1+Y63)*(1+X66)*(1-0.01)</f>
        <v>3642.511455287405</v>
      </c>
      <c r="Z62" s="206">
        <f>'конкурсные предложения'!Y6*Z12</f>
        <v>3855.5575292488884</v>
      </c>
      <c r="AA62" s="195">
        <f>Z62*(1+AA63)*(1+Z66)*(1-0.01)</f>
        <v>4084.1920907333474</v>
      </c>
      <c r="AB62" s="195">
        <f>AA62*(1+AB63)*(1+AA66)*(1-0.01)</f>
        <v>4326.384681713836</v>
      </c>
      <c r="AC62" s="195">
        <f>AB62*(1+AC63)*(1+AB66)*(1-0.01)</f>
        <v>4582.939293339466</v>
      </c>
      <c r="AD62" s="195">
        <f>AC62*(1+AD63)*(1+AC66)*(1-0.01)</f>
        <v>4854.707593434496</v>
      </c>
      <c r="AE62" s="206">
        <f>'конкурсные предложения'!AD6*AE12</f>
        <v>5146.921005308345</v>
      </c>
      <c r="AF62" s="195">
        <f>AE62*(1+AF63)*(1+AE66)*(1-0.01)</f>
        <v>5452.133420923131</v>
      </c>
    </row>
    <row r="63" spans="1:32" s="16" customFormat="1" ht="15">
      <c r="A63" s="207" t="s">
        <v>17</v>
      </c>
      <c r="B63" s="208"/>
      <c r="C63" s="201">
        <f>'конкурсная документация'!C$23</f>
        <v>0.1</v>
      </c>
      <c r="D63" s="201">
        <f>'конкурсная документация'!D$23</f>
        <v>0.1</v>
      </c>
      <c r="E63" s="201">
        <f>'конкурсная документация'!E$23</f>
        <v>0.06</v>
      </c>
      <c r="F63" s="201">
        <f>'конкурсная документация'!F$23</f>
        <v>0.07</v>
      </c>
      <c r="G63" s="201">
        <f>'конкурсная документация'!G$23</f>
        <v>0.07</v>
      </c>
      <c r="H63" s="201">
        <f>'конкурсная документация'!H$23</f>
        <v>0.07</v>
      </c>
      <c r="I63" s="201">
        <f>'конкурсная документация'!I$23</f>
        <v>0.07</v>
      </c>
      <c r="J63" s="201">
        <f>'конкурсная документация'!J$23</f>
        <v>0.07</v>
      </c>
      <c r="K63" s="201">
        <f>'конкурсная документация'!K$23</f>
        <v>0.07</v>
      </c>
      <c r="L63" s="201">
        <f>'конкурсная документация'!L$23</f>
        <v>0.07</v>
      </c>
      <c r="M63" s="201">
        <f>'конкурсная документация'!M$23</f>
        <v>0.07</v>
      </c>
      <c r="N63" s="201">
        <f>'конкурсная документация'!N$23</f>
        <v>0.07</v>
      </c>
      <c r="O63" s="201">
        <f>'конкурсная документация'!O$23</f>
        <v>0.07</v>
      </c>
      <c r="P63" s="201">
        <f>'конкурсная документация'!P$23</f>
        <v>0.07</v>
      </c>
      <c r="Q63" s="201">
        <f>'конкурсная документация'!Q$23</f>
        <v>0.07</v>
      </c>
      <c r="R63" s="201">
        <f>'конкурсная документация'!R$23</f>
        <v>0.07</v>
      </c>
      <c r="S63" s="201">
        <f>'конкурсная документация'!S$23</f>
        <v>0.07</v>
      </c>
      <c r="T63" s="201">
        <f>'конкурсная документация'!T$23</f>
        <v>0.07</v>
      </c>
      <c r="U63" s="201">
        <f>'конкурсная документация'!U$23</f>
        <v>0.07</v>
      </c>
      <c r="V63" s="201">
        <f>'конкурсная документация'!V$23</f>
        <v>0.07</v>
      </c>
      <c r="W63" s="201">
        <f>'конкурсная документация'!W$23</f>
        <v>0.07</v>
      </c>
      <c r="X63" s="201">
        <f>'конкурсная документация'!X$23</f>
        <v>0.07</v>
      </c>
      <c r="Y63" s="201">
        <f>'конкурсная документация'!Y$23</f>
        <v>0.07</v>
      </c>
      <c r="Z63" s="201">
        <f>'конкурсная документация'!Z$23</f>
        <v>0.07</v>
      </c>
      <c r="AA63" s="201">
        <f>'конкурсная документация'!AA$23</f>
        <v>0.07</v>
      </c>
      <c r="AB63" s="201">
        <f>'конкурсная документация'!AB$23</f>
        <v>0.07</v>
      </c>
      <c r="AC63" s="201">
        <f>'конкурсная документация'!AC$23</f>
        <v>0.07</v>
      </c>
      <c r="AD63" s="201">
        <f>'конкурсная документация'!AD$23</f>
        <v>0.07</v>
      </c>
      <c r="AE63" s="201">
        <f>'конкурсная документация'!AE$23</f>
        <v>0.07</v>
      </c>
      <c r="AF63" s="201">
        <f>'конкурсная документация'!AF$23</f>
        <v>0.07</v>
      </c>
    </row>
    <row r="64" spans="1:32" s="16" customFormat="1" ht="13.5" customHeight="1">
      <c r="A64" s="207" t="str">
        <f>'расчет индексация'!A18</f>
        <v>доля операционных расходов на транспортировку холодной воды за текущий отчетный период</v>
      </c>
      <c r="B64" s="209"/>
      <c r="C64" s="210">
        <f>'расчет индексация'!C18</f>
        <v>0.5</v>
      </c>
      <c r="D64" s="210">
        <f>'расчет индексация'!D18</f>
        <v>0.5789473684210527</v>
      </c>
      <c r="E64" s="210">
        <f>'расчет индексация'!E18</f>
        <v>0.612590799031477</v>
      </c>
      <c r="F64" s="210">
        <f>'расчет индексация'!F18</f>
        <v>0.6595201361919455</v>
      </c>
      <c r="G64" s="210">
        <f>'расчет индексация'!G18</f>
        <v>0.6595201361919455</v>
      </c>
      <c r="H64" s="210">
        <f>'расчет индексация'!H18</f>
        <v>0.6595201361919455</v>
      </c>
      <c r="I64" s="210">
        <f>'расчет индексация'!I18</f>
        <v>0.6595201361919455</v>
      </c>
      <c r="J64" s="210">
        <f>'расчет индексация'!J18</f>
        <v>0.6595201361919455</v>
      </c>
      <c r="K64" s="210">
        <f>'расчет индексация'!K18</f>
        <v>0.6595201361919455</v>
      </c>
      <c r="L64" s="210">
        <f>'расчет индексация'!L18</f>
        <v>0.6595201361919455</v>
      </c>
      <c r="M64" s="210">
        <f>'расчет индексация'!M18</f>
        <v>0.6595201361919455</v>
      </c>
      <c r="N64" s="210">
        <f>'расчет индексация'!N18</f>
        <v>0.6595201361919455</v>
      </c>
      <c r="O64" s="210">
        <f>'расчет индексация'!O18</f>
        <v>0.6595201361919455</v>
      </c>
      <c r="P64" s="210">
        <f>'расчет индексация'!P18</f>
        <v>0.6595201361919455</v>
      </c>
      <c r="Q64" s="210">
        <f>'расчет индексация'!Q18</f>
        <v>0.6595201361919455</v>
      </c>
      <c r="R64" s="210">
        <f>'расчет индексация'!R18</f>
        <v>0.6595201361919455</v>
      </c>
      <c r="S64" s="210">
        <f>'расчет индексация'!S18</f>
        <v>0.6595201361919455</v>
      </c>
      <c r="T64" s="210">
        <f>'расчет индексация'!T18</f>
        <v>0.6595201361919455</v>
      </c>
      <c r="U64" s="210">
        <f>'расчет индексация'!U18</f>
        <v>0.6595201361919455</v>
      </c>
      <c r="V64" s="210">
        <f>'расчет индексация'!V18</f>
        <v>0.6595201361919455</v>
      </c>
      <c r="W64" s="210">
        <f>'расчет индексация'!W18</f>
        <v>0.6595201361919455</v>
      </c>
      <c r="X64" s="210">
        <f>'расчет индексация'!X18</f>
        <v>0.6595201361919455</v>
      </c>
      <c r="Y64" s="210">
        <f>'расчет индексация'!Y18</f>
        <v>0.6595201361919455</v>
      </c>
      <c r="Z64" s="210">
        <f>'расчет индексация'!Z18</f>
        <v>0.6595201361919455</v>
      </c>
      <c r="AA64" s="210">
        <f>'расчет индексация'!AA18</f>
        <v>0.6595201361919455</v>
      </c>
      <c r="AB64" s="210">
        <f>'расчет индексация'!AB18</f>
        <v>0.6595201361919455</v>
      </c>
      <c r="AC64" s="210">
        <f>'расчет индексация'!AC18</f>
        <v>0.6595201361919455</v>
      </c>
      <c r="AD64" s="210">
        <f>'расчет индексация'!AD18</f>
        <v>0.6595201361919455</v>
      </c>
      <c r="AE64" s="210">
        <f>'расчет индексация'!AE18</f>
        <v>0.6595201361919455</v>
      </c>
      <c r="AF64" s="210">
        <f>'расчет индексация'!AF18</f>
        <v>0.6595201361919455</v>
      </c>
    </row>
    <row r="65" spans="1:32" s="16" customFormat="1" ht="47.25" customHeight="1">
      <c r="A65" s="207" t="str">
        <f>'расчет индексация'!A19</f>
        <v>Увеличение операционных расходов в следующем году всвязи с вводом в эксплуатацию нового объекта водоподготовки в текущем году, % от уровня операционных расходов предыдущего года </v>
      </c>
      <c r="B65" s="209"/>
      <c r="C65" s="210">
        <f>'расчет индексация'!C19</f>
        <v>0</v>
      </c>
      <c r="D65" s="210">
        <f>'расчет индексация'!D19</f>
        <v>0</v>
      </c>
      <c r="E65" s="210">
        <f>'расчет индексация'!E19</f>
        <v>0</v>
      </c>
      <c r="F65" s="210">
        <f>'расчет индексация'!F19</f>
        <v>0</v>
      </c>
      <c r="G65" s="210">
        <f>'расчет индексация'!G19</f>
        <v>0</v>
      </c>
      <c r="H65" s="210">
        <f>'расчет индексация'!H19</f>
        <v>0</v>
      </c>
      <c r="I65" s="210">
        <f>'расчет индексация'!I19</f>
        <v>0</v>
      </c>
      <c r="J65" s="210">
        <f>'расчет индексация'!J19</f>
        <v>0</v>
      </c>
      <c r="K65" s="210">
        <f>'расчет индексация'!K19</f>
        <v>0</v>
      </c>
      <c r="L65" s="210">
        <f>'расчет индексация'!L19</f>
        <v>0</v>
      </c>
      <c r="M65" s="210">
        <f>'расчет индексация'!M19</f>
        <v>0</v>
      </c>
      <c r="N65" s="210">
        <f>'расчет индексация'!N19</f>
        <v>0</v>
      </c>
      <c r="O65" s="210">
        <f>'расчет индексация'!O19</f>
        <v>0</v>
      </c>
      <c r="P65" s="210">
        <f>'расчет индексация'!P19</f>
        <v>0</v>
      </c>
      <c r="Q65" s="210">
        <f>'расчет индексация'!Q19</f>
        <v>0</v>
      </c>
      <c r="R65" s="210">
        <f>'расчет индексация'!R19</f>
        <v>0</v>
      </c>
      <c r="S65" s="210">
        <f>'расчет индексация'!S19</f>
        <v>0</v>
      </c>
      <c r="T65" s="210">
        <f>'расчет индексация'!T19</f>
        <v>0</v>
      </c>
      <c r="U65" s="210">
        <f>'расчет индексация'!U19</f>
        <v>0</v>
      </c>
      <c r="V65" s="210">
        <f>'расчет индексация'!V19</f>
        <v>0</v>
      </c>
      <c r="W65" s="210">
        <f>'расчет индексация'!W19</f>
        <v>0</v>
      </c>
      <c r="X65" s="210">
        <f>'расчет индексация'!X19</f>
        <v>0</v>
      </c>
      <c r="Y65" s="210">
        <f>'расчет индексация'!Y19</f>
        <v>0</v>
      </c>
      <c r="Z65" s="210">
        <f>'расчет индексация'!Z19</f>
        <v>0</v>
      </c>
      <c r="AA65" s="210">
        <f>'расчет индексация'!AA19</f>
        <v>0</v>
      </c>
      <c r="AB65" s="210">
        <f>'расчет индексация'!AB19</f>
        <v>0</v>
      </c>
      <c r="AC65" s="210">
        <f>'расчет индексация'!AC19</f>
        <v>0</v>
      </c>
      <c r="AD65" s="210">
        <f>'расчет индексация'!AD19</f>
        <v>0</v>
      </c>
      <c r="AE65" s="210">
        <f>'расчет индексация'!AE19</f>
        <v>0</v>
      </c>
      <c r="AF65" s="210">
        <f>'расчет индексация'!AF19</f>
        <v>0</v>
      </c>
    </row>
    <row r="66" spans="1:32" s="16" customFormat="1" ht="30">
      <c r="A66" s="99" t="str">
        <f>'расчет индексация'!A20</f>
        <v>ИКА, учитываемый в тарифах следующего года</v>
      </c>
      <c r="B66" s="211"/>
      <c r="C66" s="195">
        <f>'расчет индексация'!C20</f>
        <v>0.1875</v>
      </c>
      <c r="D66" s="195">
        <f>'расчет индексация'!D20</f>
        <v>0.07500000000000001</v>
      </c>
      <c r="E66" s="195">
        <f>'расчет индексация'!E20</f>
        <v>0.13026315789473683</v>
      </c>
      <c r="F66" s="195">
        <f>'расчет индексация'!F20</f>
        <v>0</v>
      </c>
      <c r="G66" s="195">
        <f>'расчет индексация'!G20</f>
        <v>0</v>
      </c>
      <c r="H66" s="195">
        <f>'расчет индексация'!H20</f>
        <v>0</v>
      </c>
      <c r="I66" s="195">
        <f>'расчет индексация'!I20</f>
        <v>0</v>
      </c>
      <c r="J66" s="195">
        <f>'расчет индексация'!J20</f>
        <v>0</v>
      </c>
      <c r="K66" s="195">
        <f>'расчет индексация'!K20</f>
        <v>0</v>
      </c>
      <c r="L66" s="195">
        <f>'расчет индексация'!L20</f>
        <v>0</v>
      </c>
      <c r="M66" s="195">
        <f>'расчет индексация'!M20</f>
        <v>0</v>
      </c>
      <c r="N66" s="195">
        <f>'расчет индексация'!N20</f>
        <v>0</v>
      </c>
      <c r="O66" s="195">
        <f>'расчет индексация'!O20</f>
        <v>0</v>
      </c>
      <c r="P66" s="195">
        <f>'расчет индексация'!P20</f>
        <v>0</v>
      </c>
      <c r="Q66" s="195">
        <f>'расчет индексация'!Q20</f>
        <v>0</v>
      </c>
      <c r="R66" s="195">
        <f>'расчет индексация'!R20</f>
        <v>0</v>
      </c>
      <c r="S66" s="195">
        <f>'расчет индексация'!S20</f>
        <v>0</v>
      </c>
      <c r="T66" s="195">
        <f>'расчет индексация'!T20</f>
        <v>0</v>
      </c>
      <c r="U66" s="195">
        <f>'расчет индексация'!U20</f>
        <v>0</v>
      </c>
      <c r="V66" s="195">
        <f>'расчет индексация'!V20</f>
        <v>0</v>
      </c>
      <c r="W66" s="195">
        <f>'расчет индексация'!W20</f>
        <v>0</v>
      </c>
      <c r="X66" s="195">
        <f>'расчет индексация'!X20</f>
        <v>0</v>
      </c>
      <c r="Y66" s="195">
        <f>'расчет индексация'!Y20</f>
        <v>0</v>
      </c>
      <c r="Z66" s="195">
        <f>'расчет индексация'!Z20</f>
        <v>0</v>
      </c>
      <c r="AA66" s="195">
        <f>'расчет индексация'!AA20</f>
        <v>0</v>
      </c>
      <c r="AB66" s="195">
        <f>'расчет индексация'!AB20</f>
        <v>0</v>
      </c>
      <c r="AC66" s="195">
        <f>'расчет индексация'!AC20</f>
        <v>0</v>
      </c>
      <c r="AD66" s="195">
        <f>'расчет индексация'!AD20</f>
        <v>0</v>
      </c>
      <c r="AE66" s="195">
        <f>'расчет индексация'!AE20</f>
        <v>0</v>
      </c>
      <c r="AF66" s="195">
        <f>'расчет индексация'!AF20</f>
        <v>0</v>
      </c>
    </row>
    <row r="67" spans="1:32" s="16" customFormat="1" ht="20.25" customHeight="1">
      <c r="A67" s="212" t="s">
        <v>61</v>
      </c>
      <c r="B67" s="213"/>
      <c r="C67" s="214">
        <f>SUM(C68,C71)</f>
        <v>3.2979991609220742</v>
      </c>
      <c r="D67" s="214">
        <f aca="true" t="shared" si="41" ref="D67:AF67">SUM(D68,D71)</f>
        <v>2.2265882379072752</v>
      </c>
      <c r="E67" s="214">
        <f t="shared" si="41"/>
        <v>2.3652379844205083</v>
      </c>
      <c r="F67" s="214">
        <f t="shared" si="41"/>
        <v>2.479147595613798</v>
      </c>
      <c r="G67" s="214">
        <f t="shared" si="41"/>
        <v>2.6991525759454307</v>
      </c>
      <c r="H67" s="214">
        <f t="shared" si="41"/>
        <v>2.940023934498231</v>
      </c>
      <c r="I67" s="214">
        <f t="shared" si="41"/>
        <v>3.203580106014681</v>
      </c>
      <c r="J67" s="214">
        <f t="shared" si="41"/>
        <v>3.4891981315477993</v>
      </c>
      <c r="K67" s="214">
        <f t="shared" si="41"/>
        <v>3.801314840686419</v>
      </c>
      <c r="L67" s="214">
        <f t="shared" si="41"/>
        <v>4.142196015279673</v>
      </c>
      <c r="M67" s="214">
        <f t="shared" si="41"/>
        <v>4.511274136558723</v>
      </c>
      <c r="N67" s="214">
        <f t="shared" si="41"/>
        <v>4.745967944081232</v>
      </c>
      <c r="O67" s="214">
        <f t="shared" si="41"/>
        <v>4.992871127969931</v>
      </c>
      <c r="P67" s="214">
        <f t="shared" si="41"/>
        <v>5.252614987728857</v>
      </c>
      <c r="Q67" s="214">
        <f t="shared" si="41"/>
        <v>5.525863056048475</v>
      </c>
      <c r="R67" s="214">
        <f t="shared" si="41"/>
        <v>5.813312710111672</v>
      </c>
      <c r="S67" s="214">
        <f t="shared" si="41"/>
        <v>6.115696860733353</v>
      </c>
      <c r="T67" s="214">
        <f t="shared" si="41"/>
        <v>6.433785722882757</v>
      </c>
      <c r="U67" s="214">
        <f t="shared" si="41"/>
        <v>6.768388671282986</v>
      </c>
      <c r="V67" s="214">
        <f t="shared" si="41"/>
        <v>7.120356184931975</v>
      </c>
      <c r="W67" s="214">
        <f t="shared" si="41"/>
        <v>7.490581884543547</v>
      </c>
      <c r="X67" s="214">
        <f t="shared" si="41"/>
        <v>7.880004667066196</v>
      </c>
      <c r="Y67" s="214">
        <f t="shared" si="41"/>
        <v>8.289610941600813</v>
      </c>
      <c r="Z67" s="214">
        <f t="shared" si="41"/>
        <v>8.684836085559771</v>
      </c>
      <c r="AA67" s="214">
        <f t="shared" si="41"/>
        <v>9.098134849394684</v>
      </c>
      <c r="AB67" s="214">
        <f t="shared" si="41"/>
        <v>9.554927540430066</v>
      </c>
      <c r="AC67" s="214">
        <f t="shared" si="41"/>
        <v>10.033549992667343</v>
      </c>
      <c r="AD67" s="214">
        <f t="shared" si="41"/>
        <v>10.534959717509517</v>
      </c>
      <c r="AE67" s="214">
        <f t="shared" si="41"/>
        <v>11.1081741963595</v>
      </c>
      <c r="AF67" s="214">
        <f t="shared" si="41"/>
        <v>11.72719365601716</v>
      </c>
    </row>
    <row r="68" spans="1:32" s="16" customFormat="1" ht="14.25" customHeight="1">
      <c r="A68" s="215" t="s">
        <v>19</v>
      </c>
      <c r="B68" s="216"/>
      <c r="C68" s="195">
        <f>C69*C70/1000</f>
        <v>0.8108584201813334</v>
      </c>
      <c r="D68" s="195">
        <f aca="true" t="shared" si="42" ref="D68:AF68">D69*D70/1000</f>
        <v>0.8667193130177319</v>
      </c>
      <c r="E68" s="195">
        <f t="shared" si="42"/>
        <v>0.9186998145815622</v>
      </c>
      <c r="F68" s="195">
        <f t="shared" si="42"/>
        <v>0.9547448238525171</v>
      </c>
      <c r="G68" s="195">
        <f t="shared" si="42"/>
        <v>1.0365346228774128</v>
      </c>
      <c r="H68" s="195">
        <f t="shared" si="42"/>
        <v>1.1257789257082451</v>
      </c>
      <c r="I68" s="195">
        <f t="shared" si="42"/>
        <v>1.2230875897216067</v>
      </c>
      <c r="J68" s="195">
        <f t="shared" si="42"/>
        <v>1.328130016873233</v>
      </c>
      <c r="K68" s="195">
        <f t="shared" si="42"/>
        <v>1.4424954537473889</v>
      </c>
      <c r="L68" s="195">
        <f t="shared" si="42"/>
        <v>1.5669276565031311</v>
      </c>
      <c r="M68" s="195">
        <f t="shared" si="42"/>
        <v>1.701087279341966</v>
      </c>
      <c r="N68" s="195">
        <f t="shared" si="42"/>
        <v>1.7837417701110228</v>
      </c>
      <c r="O68" s="195">
        <f t="shared" si="42"/>
        <v>1.870283221704847</v>
      </c>
      <c r="P68" s="195">
        <f t="shared" si="42"/>
        <v>1.9608833239001997</v>
      </c>
      <c r="Q68" s="195">
        <f t="shared" si="42"/>
        <v>2.0557204366508817</v>
      </c>
      <c r="R68" s="195">
        <f t="shared" si="42"/>
        <v>2.154979771245796</v>
      </c>
      <c r="S68" s="195">
        <f t="shared" si="42"/>
        <v>2.2588535688924813</v>
      </c>
      <c r="T68" s="195">
        <f t="shared" si="42"/>
        <v>2.3675412757352077</v>
      </c>
      <c r="U68" s="195">
        <f t="shared" si="42"/>
        <v>2.481249713204718</v>
      </c>
      <c r="V68" s="195">
        <f t="shared" si="42"/>
        <v>2.6001932424745395</v>
      </c>
      <c r="W68" s="195">
        <f t="shared" si="42"/>
        <v>2.7245939216658424</v>
      </c>
      <c r="X68" s="195">
        <f t="shared" si="42"/>
        <v>2.854681654298044</v>
      </c>
      <c r="Y68" s="195">
        <f t="shared" si="42"/>
        <v>2.9906943273249422</v>
      </c>
      <c r="Z68" s="195">
        <f t="shared" si="42"/>
        <v>3.097277051278104</v>
      </c>
      <c r="AA68" s="195">
        <f t="shared" si="42"/>
        <v>3.2060502241655247</v>
      </c>
      <c r="AB68" s="195">
        <f t="shared" si="42"/>
        <v>3.3254772418339704</v>
      </c>
      <c r="AC68" s="195">
        <f t="shared" si="42"/>
        <v>3.4473732369722843</v>
      </c>
      <c r="AD68" s="195">
        <f t="shared" si="42"/>
        <v>3.571582362550072</v>
      </c>
      <c r="AE68" s="195">
        <f t="shared" si="42"/>
        <v>3.745944598038962</v>
      </c>
      <c r="AF68" s="195">
        <f t="shared" si="42"/>
        <v>3.9332353630463874</v>
      </c>
    </row>
    <row r="69" spans="1:32" s="170" customFormat="1" ht="30">
      <c r="A69" s="217" t="s">
        <v>101</v>
      </c>
      <c r="B69" s="218"/>
      <c r="C69" s="206">
        <f>'конкурсные предложения'!B12*'конкурсная документация'!C44/(1-'конкурсные предложения'!B11)</f>
        <v>193.0577777777778</v>
      </c>
      <c r="D69" s="206">
        <f>'конкурсные предложения'!C12*'конкурсная документация'!D44/(1-'конкурсные предложения'!C11)</f>
        <v>190.1914580265096</v>
      </c>
      <c r="E69" s="206">
        <f>'конкурсные предложения'!D12*'конкурсная документация'!E44/(1-'конкурсные предложения'!D11)</f>
        <v>187.35871156661787</v>
      </c>
      <c r="F69" s="206">
        <f>'конкурсные предложения'!E12*'конкурсная документация'!F44/(1-'конкурсные предложения'!E11)</f>
        <v>184.55895196506552</v>
      </c>
      <c r="G69" s="206">
        <f>'конкурсные предложения'!F12*'конкурсная документация'!G44/(1-'конкурсные предложения'!F11)</f>
        <v>188.14037626628073</v>
      </c>
      <c r="H69" s="206">
        <f>'конкурсные предложения'!G12*'конкурсная документация'!H44/(1-'конкурсные предложения'!G11)</f>
        <v>191.86762589928057</v>
      </c>
      <c r="I69" s="206">
        <f>'конкурсные предложения'!H12*'конкурсная документация'!I44/(1-'конкурсные предложения'!H11)</f>
        <v>195.7296137339056</v>
      </c>
      <c r="J69" s="206">
        <f>'конкурсные предложения'!I12*'конкурсная документация'!J44/(1-'конкурсные предложения'!I11)</f>
        <v>199.56756756756758</v>
      </c>
      <c r="K69" s="206">
        <f>'конкурсные предложения'!J12*'конкурсная документация'!K44/(1-'конкурсные предложения'!J11)</f>
        <v>203.5233380480905</v>
      </c>
      <c r="L69" s="206">
        <f>'конкурсные предложения'!K12*'конкурсная документация'!L44/(1-'конкурсные предложения'!K11)</f>
        <v>207.58649789029533</v>
      </c>
      <c r="M69" s="206">
        <f>'конкурсные предложения'!L12*'конкурсная документация'!M44/(1-'конкурсные предложения'!L11)</f>
        <v>211.6055944055944</v>
      </c>
      <c r="N69" s="206">
        <f>'конкурсные предложения'!M12*'конкурсная документация'!N44/(1-'конкурсные предложения'!M11)</f>
        <v>208.3449235048679</v>
      </c>
      <c r="O69" s="206">
        <f>'конкурсные предложения'!N12*'конкурсная документация'!O44/(1-'конкурсные предложения'!N11)</f>
        <v>205.12033195020751</v>
      </c>
      <c r="P69" s="206">
        <f>'конкурсные предложения'!O12*'конкурсная документация'!P44/(1-'конкурсные предложения'!O11)</f>
        <v>201.9312242090784</v>
      </c>
      <c r="Q69" s="206">
        <f>'конкурсные предложения'!P12*'конкурсная документация'!Q44/(1-'конкурсные предложения'!P11)</f>
        <v>198.77701778385776</v>
      </c>
      <c r="R69" s="206">
        <f>'конкурсные предложения'!Q12*'конкурсная документация'!R44/(1-'конкурсные предложения'!Q11)</f>
        <v>195.65714285714284</v>
      </c>
      <c r="S69" s="206">
        <f>'конкурсные предложения'!R12*'конкурсная документация'!S44/(1-'конкурсные предложения'!R11)</f>
        <v>192.57104194857916</v>
      </c>
      <c r="T69" s="206">
        <f>'конкурсные предложения'!S12*'конкурсная документация'!T44/(1-'конкурсные предложения'!S11)</f>
        <v>189.51816958277257</v>
      </c>
      <c r="U69" s="206">
        <f>'конкурсные предложения'!T12*'конкурсная документация'!U44/(1-'конкурсные предложения'!T11)</f>
        <v>186.4979919678715</v>
      </c>
      <c r="V69" s="206">
        <f>'конкурсные предложения'!U12*'конкурсная документация'!V44/(1-'конкурсные предложения'!U11)</f>
        <v>183.50998668442077</v>
      </c>
      <c r="W69" s="206">
        <f>'конкурсные предложения'!V12*'конкурсная документация'!W44/(1-'конкурсные предложения'!V11)</f>
        <v>180.55364238410598</v>
      </c>
      <c r="X69" s="206">
        <f>'конкурсные предложения'!W12*'конкурсная документация'!X44/(1-'конкурсные предложения'!W11)</f>
        <v>177.62845849802375</v>
      </c>
      <c r="Y69" s="206">
        <f>'конкурсные предложения'!X12*'конкурсная документация'!Y44/(1-'конкурсные предложения'!X11)</f>
        <v>174.73394495412845</v>
      </c>
      <c r="Z69" s="206">
        <f>'конкурсные предложения'!Y12*'конкурсная документация'!Z44/(1-'конкурсные предложения'!Y11)</f>
        <v>169.91655801825297</v>
      </c>
      <c r="AA69" s="206">
        <f>'конкурсные предложения'!Z12*'конкурсная документация'!AA44/(1-'конкурсные предложения'!Z11)</f>
        <v>165.1491569390402</v>
      </c>
      <c r="AB69" s="206">
        <f>'конкурсные предложения'!AA12*'конкурсная документация'!AB44/(1-'конкурсные предложения'!AA11)</f>
        <v>160.84605433376456</v>
      </c>
      <c r="AC69" s="206">
        <f>'конкурсные предложения'!AB12*'конкурсная документация'!AC44/(1-'конкурсные предложения'!AB11)</f>
        <v>156.5651612903226</v>
      </c>
      <c r="AD69" s="206">
        <f>'конкурсные предложения'!AC12*'конкурсная документация'!AD44/(1-'конкурсные предложения'!AC11)</f>
        <v>152.3063063063063</v>
      </c>
      <c r="AE69" s="206">
        <f>'конкурсные предложения'!AD12*'конкурсная документация'!AE44/(1-'конкурсные предложения'!AD11)</f>
        <v>149.992297817715</v>
      </c>
      <c r="AF69" s="206">
        <f>'конкурсные предложения'!AE12*'конкурсная документация'!AF44/(1-'конкурсные предложения'!AE11)</f>
        <v>147.8794871794872</v>
      </c>
    </row>
    <row r="70" spans="1:32" s="170" customFormat="1" ht="15" customHeight="1">
      <c r="A70" s="217" t="s">
        <v>21</v>
      </c>
      <c r="B70" s="218"/>
      <c r="C70" s="206">
        <f>'конкурсная документация'!$B$15*C10</f>
        <v>4.2000816</v>
      </c>
      <c r="D70" s="206">
        <f>'конкурсная документация'!$B$15*D10</f>
        <v>4.557088535999999</v>
      </c>
      <c r="E70" s="206">
        <f>'конкурсная документация'!$B$15*E10</f>
        <v>4.903427264736</v>
      </c>
      <c r="F70" s="206">
        <f>'конкурсная документация'!$B$15*F10</f>
        <v>5.17311576429648</v>
      </c>
      <c r="G70" s="206">
        <f>'конкурсная документация'!$B$15*G10</f>
        <v>5.50936828897575</v>
      </c>
      <c r="H70" s="206">
        <f>'конкурсная документация'!$B$15*H10</f>
        <v>5.867477227759174</v>
      </c>
      <c r="I70" s="206">
        <f>'конкурсная документация'!$B$15*I10</f>
        <v>6.24886324756352</v>
      </c>
      <c r="J70" s="206">
        <f>'конкурсная документация'!$B$15*J10</f>
        <v>6.655039358655149</v>
      </c>
      <c r="K70" s="206">
        <f>'конкурсная документация'!$B$15*K10</f>
        <v>7.087616916967733</v>
      </c>
      <c r="L70" s="206">
        <f>'конкурсная документация'!$B$15*L10</f>
        <v>7.548312016570636</v>
      </c>
      <c r="M70" s="206">
        <f>'конкурсная документация'!$B$15*M10</f>
        <v>8.038952297647727</v>
      </c>
      <c r="N70" s="206">
        <f>'конкурсная документация'!$B$15*N10</f>
        <v>8.561484196994828</v>
      </c>
      <c r="O70" s="206">
        <f>'конкурсная документация'!$B$15*O10</f>
        <v>9.117980669799492</v>
      </c>
      <c r="P70" s="206">
        <f>'конкурсная документация'!$B$15*P10</f>
        <v>9.710649413336457</v>
      </c>
      <c r="Q70" s="206">
        <f>'конкурсная документация'!$B$15*Q10</f>
        <v>10.341841625203326</v>
      </c>
      <c r="R70" s="206">
        <f>'конкурсная документация'!$B$15*R10</f>
        <v>11.01406133084154</v>
      </c>
      <c r="S70" s="206">
        <f>'конкурсная документация'!$B$15*S10</f>
        <v>11.729975317346241</v>
      </c>
      <c r="T70" s="206">
        <f>'конкурсная документация'!$B$15*T10</f>
        <v>12.492423712973746</v>
      </c>
      <c r="U70" s="206">
        <f>'конкурсная документация'!$B$15*U10</f>
        <v>13.30443125431704</v>
      </c>
      <c r="V70" s="206">
        <f>'конкурсная документация'!$B$15*V10</f>
        <v>14.169219285847646</v>
      </c>
      <c r="W70" s="206">
        <f>'конкурсная документация'!$B$15*W10</f>
        <v>15.090218539427742</v>
      </c>
      <c r="X70" s="206">
        <f>'конкурсная документация'!$B$15*X10</f>
        <v>16.071082744490543</v>
      </c>
      <c r="Y70" s="206">
        <f>'конкурсная документация'!$B$15*Y10</f>
        <v>17.115703122882426</v>
      </c>
      <c r="Z70" s="206">
        <f>'конкурсная документация'!$B$15*Z10</f>
        <v>18.228223825869783</v>
      </c>
      <c r="AA70" s="206">
        <f>'конкурсная документация'!$B$15*AA10</f>
        <v>19.41305837455132</v>
      </c>
      <c r="AB70" s="206">
        <f>'конкурсная документация'!$B$15*AB10</f>
        <v>20.674907168897157</v>
      </c>
      <c r="AC70" s="206">
        <f>'конкурсная документация'!$B$15*AC10</f>
        <v>22.01877613487547</v>
      </c>
      <c r="AD70" s="206">
        <f>'конкурсная документация'!$B$15*AD10</f>
        <v>23.449996583642374</v>
      </c>
      <c r="AE70" s="206">
        <f>'конкурсная документация'!$B$15*AE10</f>
        <v>24.974246361579127</v>
      </c>
      <c r="AF70" s="206">
        <f>'конкурсная документация'!$B$15*AF10</f>
        <v>26.59757237508177</v>
      </c>
    </row>
    <row r="71" spans="1:32" s="16" customFormat="1" ht="15">
      <c r="A71" s="215" t="s">
        <v>236</v>
      </c>
      <c r="B71" s="216"/>
      <c r="C71" s="195">
        <f aca="true" t="shared" si="43" ref="C71:AF71">C72*C73/1000</f>
        <v>2.487140740740741</v>
      </c>
      <c r="D71" s="195">
        <f t="shared" si="43"/>
        <v>1.3598689248895435</v>
      </c>
      <c r="E71" s="195">
        <f t="shared" si="43"/>
        <v>1.4465381698389461</v>
      </c>
      <c r="F71" s="195">
        <f t="shared" si="43"/>
        <v>1.524402771761281</v>
      </c>
      <c r="G71" s="195">
        <f t="shared" si="43"/>
        <v>1.6626179530680176</v>
      </c>
      <c r="H71" s="195">
        <f t="shared" si="43"/>
        <v>1.814245008789986</v>
      </c>
      <c r="I71" s="195">
        <f t="shared" si="43"/>
        <v>1.9804925162930742</v>
      </c>
      <c r="J71" s="195">
        <f t="shared" si="43"/>
        <v>2.1610681146745665</v>
      </c>
      <c r="K71" s="195">
        <f t="shared" si="43"/>
        <v>2.3588193869390297</v>
      </c>
      <c r="L71" s="195">
        <f t="shared" si="43"/>
        <v>2.5752683587765417</v>
      </c>
      <c r="M71" s="195">
        <f t="shared" si="43"/>
        <v>2.8101868572167565</v>
      </c>
      <c r="N71" s="195">
        <f t="shared" si="43"/>
        <v>2.962226173970209</v>
      </c>
      <c r="O71" s="195">
        <f t="shared" si="43"/>
        <v>3.122587906265083</v>
      </c>
      <c r="P71" s="195">
        <f t="shared" si="43"/>
        <v>3.291731663828658</v>
      </c>
      <c r="Q71" s="195">
        <f t="shared" si="43"/>
        <v>3.4701426193975937</v>
      </c>
      <c r="R71" s="195">
        <f t="shared" si="43"/>
        <v>3.6583329388658767</v>
      </c>
      <c r="S71" s="195">
        <f t="shared" si="43"/>
        <v>3.856843291840872</v>
      </c>
      <c r="T71" s="195">
        <f t="shared" si="43"/>
        <v>4.0662444471475485</v>
      </c>
      <c r="U71" s="195">
        <f t="shared" si="43"/>
        <v>4.287138958078269</v>
      </c>
      <c r="V71" s="195">
        <f t="shared" si="43"/>
        <v>4.520162942457436</v>
      </c>
      <c r="W71" s="195">
        <f t="shared" si="43"/>
        <v>4.765987962877705</v>
      </c>
      <c r="X71" s="195">
        <f t="shared" si="43"/>
        <v>5.025323012768151</v>
      </c>
      <c r="Y71" s="195">
        <f t="shared" si="43"/>
        <v>5.29891661427587</v>
      </c>
      <c r="Z71" s="195">
        <f t="shared" si="43"/>
        <v>5.587559034281667</v>
      </c>
      <c r="AA71" s="195">
        <f t="shared" si="43"/>
        <v>5.89208462522916</v>
      </c>
      <c r="AB71" s="195">
        <f t="shared" si="43"/>
        <v>6.229450298596096</v>
      </c>
      <c r="AC71" s="195">
        <f t="shared" si="43"/>
        <v>6.586176755695058</v>
      </c>
      <c r="AD71" s="195">
        <f t="shared" si="43"/>
        <v>6.963377354959445</v>
      </c>
      <c r="AE71" s="195">
        <f t="shared" si="43"/>
        <v>7.362229598320537</v>
      </c>
      <c r="AF71" s="195">
        <f t="shared" si="43"/>
        <v>7.793958292970772</v>
      </c>
    </row>
    <row r="72" spans="1:32" s="170" customFormat="1" ht="30">
      <c r="A72" s="217" t="s">
        <v>235</v>
      </c>
      <c r="B72" s="218"/>
      <c r="C72" s="206">
        <f>'конкурсная документация'!C44/(1-'конкурсные предложения'!B11)*'конкурсная документация'!C30</f>
        <v>173.92592592592592</v>
      </c>
      <c r="D72" s="206">
        <f>'конкурсная документация'!D44/(1-'конкурсные предложения'!C11)*'конкурсная документация'!D30</f>
        <v>86.45066273932252</v>
      </c>
      <c r="E72" s="206">
        <f>'конкурсная документация'!E44/(1-'конкурсные предложения'!D11)*'конкурсная документация'!E30</f>
        <v>85.94436310395315</v>
      </c>
      <c r="F72" s="206">
        <f>'конкурсная документация'!F44/(1-'конкурсные предложения'!E11)*'конкурсная документация'!F30</f>
        <v>85.44395924308587</v>
      </c>
      <c r="G72" s="206">
        <f>'конкурсная документация'!G44/(1-'конкурсные предложения'!F11)*'конкурсная документация'!G30</f>
        <v>87.91606367583212</v>
      </c>
      <c r="H72" s="206">
        <f>'конкурсная документация'!H44/(1-'конкурсные предложения'!G11)*'конкурсная документация'!H30</f>
        <v>90.50359712230215</v>
      </c>
      <c r="I72" s="206">
        <f>'конкурсная документация'!I44/(1-'конкурсные предложения'!H11)*'конкурсная документация'!I30</f>
        <v>93.20457796852646</v>
      </c>
      <c r="J72" s="206">
        <f>'конкурсная документация'!J44/(1-'конкурсные предложения'!I11)*'конкурсная документация'!J30</f>
        <v>95.94594594594594</v>
      </c>
      <c r="K72" s="206">
        <f>'конкурсная документация'!K44/(1-'конкурсные предложения'!J11)*'конкурсная документация'!K30</f>
        <v>98.79773691654879</v>
      </c>
      <c r="L72" s="206">
        <f>'конкурсная документация'!L44/(1-'конкурсные предложения'!K11)*'конкурсная документация'!L30</f>
        <v>101.75808720112515</v>
      </c>
      <c r="M72" s="206">
        <f>'конкурсная документация'!M44/(1-'конкурсные предложения'!L11)*'конкурсная документация'!M30</f>
        <v>104.75524475524475</v>
      </c>
      <c r="N72" s="206">
        <f>'конкурсная документация'!N44/(1-'конкурсные предложения'!M11)*'конкурсная документация'!N30</f>
        <v>104.17246175243395</v>
      </c>
      <c r="O72" s="206">
        <f>'конкурсная документация'!O44/(1-'конкурсные предложения'!N11)*'конкурсная документация'!O30</f>
        <v>103.59612724757955</v>
      </c>
      <c r="P72" s="206">
        <f>'конкурсная документация'!P44/(1-'конкурсные предложения'!O11)*'конкурсная документация'!P30</f>
        <v>103.02613480055021</v>
      </c>
      <c r="Q72" s="206">
        <f>'конкурсная документация'!Q44/(1-'конкурсные предложения'!P11)*'конкурсная документация'!Q30</f>
        <v>102.4623803009576</v>
      </c>
      <c r="R72" s="206">
        <f>'конкурсная документация'!R44/(1-'конкурсные предложения'!Q11)*'конкурсная документация'!R30</f>
        <v>101.90476190476191</v>
      </c>
      <c r="S72" s="206">
        <f>'конкурсная документация'!S44/(1-'конкурсные предложения'!R11)*'конкурсная документация'!S30</f>
        <v>101.3531799729364</v>
      </c>
      <c r="T72" s="206">
        <f>'конкурсная документация'!T44/(1-'конкурсные предложения'!S11)*'конкурсная документация'!T30</f>
        <v>100.80753701211306</v>
      </c>
      <c r="U72" s="206">
        <f>'конкурсная документация'!U44/(1-'конкурсные предложения'!T11)*'конкурсная документация'!U30</f>
        <v>100.26773761713521</v>
      </c>
      <c r="V72" s="206">
        <f>'конкурсная документация'!V44/(1-'конкурсные предложения'!U11)*'конкурсная документация'!V30</f>
        <v>99.73368841544608</v>
      </c>
      <c r="W72" s="206">
        <f>'конкурсная документация'!W44/(1-'конкурсные предложения'!V11)*'конкурсная документация'!W30</f>
        <v>99.20529801324504</v>
      </c>
      <c r="X72" s="206">
        <f>'конкурсная документация'!X44/(1-'конкурсные предложения'!W11)*'конкурсная документация'!X30</f>
        <v>98.68247694334651</v>
      </c>
      <c r="Y72" s="206">
        <f>'конкурсная документация'!Y44/(1-'конкурсные предложения'!X11)*'конкурсная документация'!Y30</f>
        <v>98.16513761467891</v>
      </c>
      <c r="Z72" s="206">
        <f>'конкурсная документация'!Z44/(1-'конкурсные предложения'!Y11)*'конкурсная документация'!Z30</f>
        <v>97.65319426336376</v>
      </c>
      <c r="AA72" s="206">
        <f>'конкурсная документация'!AA44/(1-'конкурсные предложения'!Z11)*'конкурсная документация'!AA30</f>
        <v>97.14656290531778</v>
      </c>
      <c r="AB72" s="206">
        <f>'конкурсная документация'!AB44/(1-'конкурсные предложения'!AA11)*'конкурсная документация'!AB30</f>
        <v>96.89521345407503</v>
      </c>
      <c r="AC72" s="206">
        <f>'конкурсная документация'!AC44/(1-'конкурсные предложения'!AB11)*'конкурсная документация'!AC30</f>
        <v>96.64516129032259</v>
      </c>
      <c r="AD72" s="206">
        <f>'конкурсная документация'!AD44/(1-'конкурсные предложения'!AC11)*'конкурсная документация'!AD30</f>
        <v>96.3963963963964</v>
      </c>
      <c r="AE72" s="206">
        <f>'конкурсная документация'!AE44/(1-'конкурсные предложения'!AD11)*'конкурсная документация'!AE30</f>
        <v>96.14890885750964</v>
      </c>
      <c r="AF72" s="206">
        <f>'конкурсная документация'!AF44/(1-'конкурсные предложения'!AE11)*'конкурсная документация'!AF30</f>
        <v>96.02564102564104</v>
      </c>
    </row>
    <row r="73" spans="1:32" s="170" customFormat="1" ht="15">
      <c r="A73" s="217" t="s">
        <v>22</v>
      </c>
      <c r="B73" s="218"/>
      <c r="C73" s="206">
        <f>'конкурсная документация'!$B$14*C9</f>
        <v>14.3</v>
      </c>
      <c r="D73" s="206">
        <f>'конкурсная документация'!$B$14*D9</f>
        <v>15.730000000000002</v>
      </c>
      <c r="E73" s="206">
        <f>'конкурсная документация'!$B$14*E9</f>
        <v>16.831100000000003</v>
      </c>
      <c r="F73" s="206">
        <f>'конкурсная документация'!$B$14*F9</f>
        <v>17.840966</v>
      </c>
      <c r="G73" s="206">
        <f>'конкурсная документация'!$B$14*G9</f>
        <v>18.911423960000004</v>
      </c>
      <c r="H73" s="206">
        <f>'конкурсная документация'!$B$14*H9</f>
        <v>20.046109397600006</v>
      </c>
      <c r="I73" s="206">
        <f>'конкурсная документация'!$B$14*I9</f>
        <v>21.248875961456008</v>
      </c>
      <c r="J73" s="206">
        <f>'конкурсная документация'!$B$14*J9</f>
        <v>22.52380851914337</v>
      </c>
      <c r="K73" s="206">
        <f>'конкурсная документация'!$B$14*K9</f>
        <v>23.87523703029197</v>
      </c>
      <c r="L73" s="206">
        <f>'конкурсная документация'!$B$14*L9</f>
        <v>25.30775125210949</v>
      </c>
      <c r="M73" s="206">
        <f>'конкурсная документация'!$B$14*M9</f>
        <v>26.82621632723606</v>
      </c>
      <c r="N73" s="206">
        <f>'конкурсная документация'!$B$14*N9</f>
        <v>28.435789306870227</v>
      </c>
      <c r="O73" s="206">
        <f>'конкурсная документация'!$B$14*O9</f>
        <v>30.14193666528244</v>
      </c>
      <c r="P73" s="206">
        <f>'конкурсная документация'!$B$14*P9</f>
        <v>31.950452865199388</v>
      </c>
      <c r="Q73" s="206">
        <f>'конкурсная документация'!$B$14*Q9</f>
        <v>33.867480037111356</v>
      </c>
      <c r="R73" s="206">
        <f>'конкурсная документация'!$B$14*R9</f>
        <v>35.89952883933804</v>
      </c>
      <c r="S73" s="206">
        <f>'конкурсная документация'!$B$14*S9</f>
        <v>38.05350056969832</v>
      </c>
      <c r="T73" s="206">
        <f>'конкурсная документация'!$B$14*T9</f>
        <v>40.33671060388022</v>
      </c>
      <c r="U73" s="206">
        <f>'конкурсная документация'!$B$14*U9</f>
        <v>42.756913240113036</v>
      </c>
      <c r="V73" s="206">
        <f>'конкурсная документация'!$B$14*V9</f>
        <v>45.32232803451981</v>
      </c>
      <c r="W73" s="206">
        <f>'конкурсная документация'!$B$14*W9</f>
        <v>48.04166771659101</v>
      </c>
      <c r="X73" s="206">
        <f>'конкурсная документация'!$B$14*X9</f>
        <v>50.92416777958647</v>
      </c>
      <c r="Y73" s="206">
        <f>'конкурсная документация'!$B$14*Y9</f>
        <v>53.97961784636166</v>
      </c>
      <c r="Z73" s="206">
        <f>'конкурсная документация'!$B$14*Z9</f>
        <v>57.21839491714337</v>
      </c>
      <c r="AA73" s="206">
        <f>'конкурсная документация'!$B$14*AA9</f>
        <v>60.65149861217198</v>
      </c>
      <c r="AB73" s="206">
        <f>'конкурсная документация'!$B$14*AB9</f>
        <v>64.2905885289023</v>
      </c>
      <c r="AC73" s="206">
        <f>'конкурсная документация'!$B$14*AC9</f>
        <v>68.14802384063644</v>
      </c>
      <c r="AD73" s="206">
        <f>'конкурсная документация'!$B$14*AD9</f>
        <v>72.23690527107462</v>
      </c>
      <c r="AE73" s="206">
        <f>'конкурсная документация'!$B$14*AE9</f>
        <v>76.5711195873391</v>
      </c>
      <c r="AF73" s="206">
        <f>'конкурсная документация'!$B$14*AF9</f>
        <v>81.16538676257946</v>
      </c>
    </row>
    <row r="74" spans="1:32" s="16" customFormat="1" ht="15">
      <c r="A74" s="99" t="s">
        <v>9</v>
      </c>
      <c r="B74" s="216"/>
      <c r="C74" s="195">
        <f aca="true" t="shared" si="44" ref="C74:AF74">SUM(C75:C78)</f>
        <v>749.0625</v>
      </c>
      <c r="D74" s="195">
        <f t="shared" si="44"/>
        <v>783.1371441122569</v>
      </c>
      <c r="E74" s="195">
        <f t="shared" si="44"/>
        <v>814.8884091919891</v>
      </c>
      <c r="F74" s="195">
        <f t="shared" si="44"/>
        <v>851.5850930593446</v>
      </c>
      <c r="G74" s="195">
        <f t="shared" si="44"/>
        <v>884.983480447007</v>
      </c>
      <c r="H74" s="195">
        <f t="shared" si="44"/>
        <v>914.7231651061666</v>
      </c>
      <c r="I74" s="195">
        <f t="shared" si="44"/>
        <v>946.5303012142009</v>
      </c>
      <c r="J74" s="195">
        <f t="shared" si="44"/>
        <v>980.5508110961373</v>
      </c>
      <c r="K74" s="195">
        <f t="shared" si="44"/>
        <v>1016.9659470408917</v>
      </c>
      <c r="L74" s="195">
        <f t="shared" si="44"/>
        <v>1055.9394454375667</v>
      </c>
      <c r="M74" s="195">
        <f t="shared" si="44"/>
        <v>1100.236640031655</v>
      </c>
      <c r="N74" s="195">
        <f t="shared" si="44"/>
        <v>1146.223472203631</v>
      </c>
      <c r="O74" s="195">
        <f t="shared" si="44"/>
        <v>1215.3065892265363</v>
      </c>
      <c r="P74" s="195">
        <f t="shared" si="44"/>
        <v>1298.2742134516686</v>
      </c>
      <c r="Q74" s="195">
        <f t="shared" si="44"/>
        <v>1387.148719757654</v>
      </c>
      <c r="R74" s="195">
        <f t="shared" si="44"/>
        <v>1482.0201914892905</v>
      </c>
      <c r="S74" s="195">
        <f t="shared" si="44"/>
        <v>1583.06966069197</v>
      </c>
      <c r="T74" s="195">
        <f t="shared" si="44"/>
        <v>1690.4741560206942</v>
      </c>
      <c r="U74" s="195">
        <f t="shared" si="44"/>
        <v>1804.4071203142078</v>
      </c>
      <c r="V74" s="195">
        <f t="shared" si="44"/>
        <v>1925.085154776979</v>
      </c>
      <c r="W74" s="195">
        <f t="shared" si="44"/>
        <v>2052.701343254177</v>
      </c>
      <c r="X74" s="195">
        <f t="shared" si="44"/>
        <v>2187.473976331017</v>
      </c>
      <c r="Y74" s="195">
        <f t="shared" si="44"/>
        <v>2330.1037285941993</v>
      </c>
      <c r="Z74" s="195">
        <f t="shared" si="44"/>
        <v>2481.8910622611716</v>
      </c>
      <c r="AA74" s="195">
        <f t="shared" si="44"/>
        <v>2644.906401351489</v>
      </c>
      <c r="AB74" s="195">
        <f t="shared" si="44"/>
        <v>2829.0648544250553</v>
      </c>
      <c r="AC74" s="195">
        <f t="shared" si="44"/>
        <v>3033.8356328551454</v>
      </c>
      <c r="AD74" s="195">
        <f t="shared" si="44"/>
        <v>3249.8747651068406</v>
      </c>
      <c r="AE74" s="195">
        <f t="shared" si="44"/>
        <v>3479.130238381823</v>
      </c>
      <c r="AF74" s="195">
        <f t="shared" si="44"/>
        <v>3733.6929068763775</v>
      </c>
    </row>
    <row r="75" spans="1:32" s="170" customFormat="1" ht="18.75" customHeight="1">
      <c r="A75" s="219" t="s">
        <v>20</v>
      </c>
      <c r="B75" s="218"/>
      <c r="C75" s="206">
        <f>'конкурсная документация'!C32*C12</f>
        <v>0</v>
      </c>
      <c r="D75" s="206">
        <f>'конкурсная документация'!D32*D12</f>
        <v>0</v>
      </c>
      <c r="E75" s="206">
        <f>'конкурсная документация'!E32*E12</f>
        <v>0</v>
      </c>
      <c r="F75" s="206">
        <f>'конкурсная документация'!F32*F12</f>
        <v>0</v>
      </c>
      <c r="G75" s="206">
        <f>'конкурсная документация'!G32*G12</f>
        <v>0</v>
      </c>
      <c r="H75" s="206">
        <f>'конкурсная документация'!H32*H12</f>
        <v>0</v>
      </c>
      <c r="I75" s="206">
        <f>'конкурсная документация'!I32*I12</f>
        <v>0</v>
      </c>
      <c r="J75" s="206">
        <f>'конкурсная документация'!J32*J12</f>
        <v>0</v>
      </c>
      <c r="K75" s="206">
        <f>'конкурсная документация'!K32*K12</f>
        <v>0</v>
      </c>
      <c r="L75" s="206">
        <f>'конкурсная документация'!L32*L12</f>
        <v>0</v>
      </c>
      <c r="M75" s="206">
        <f>'конкурсная документация'!M32*M12</f>
        <v>0</v>
      </c>
      <c r="N75" s="206">
        <f>'конкурсная документация'!N32*N12</f>
        <v>0</v>
      </c>
      <c r="O75" s="206">
        <f>'конкурсная документация'!O32*O12</f>
        <v>0</v>
      </c>
      <c r="P75" s="206">
        <f>'конкурсная документация'!P32*P12</f>
        <v>0</v>
      </c>
      <c r="Q75" s="206">
        <f>'конкурсная документация'!Q32*Q12</f>
        <v>0</v>
      </c>
      <c r="R75" s="206">
        <f>'конкурсная документация'!R32*R12</f>
        <v>0</v>
      </c>
      <c r="S75" s="206">
        <f>'конкурсная документация'!S32*S12</f>
        <v>0</v>
      </c>
      <c r="T75" s="206">
        <f>'конкурсная документация'!T32*T12</f>
        <v>0</v>
      </c>
      <c r="U75" s="206">
        <f>'конкурсная документация'!U32*U12</f>
        <v>0</v>
      </c>
      <c r="V75" s="206">
        <f>'конкурсная документация'!V32*V12</f>
        <v>0</v>
      </c>
      <c r="W75" s="206">
        <f>'конкурсная документация'!W32*W12</f>
        <v>0</v>
      </c>
      <c r="X75" s="206">
        <f>'конкурсная документация'!X32*X12</f>
        <v>0</v>
      </c>
      <c r="Y75" s="206">
        <f>'конкурсная документация'!Y32*Y12</f>
        <v>0</v>
      </c>
      <c r="Z75" s="206">
        <f>'конкурсная документация'!Z32*Z12</f>
        <v>0</v>
      </c>
      <c r="AA75" s="206">
        <f>'конкурсная документация'!AA32*AA12</f>
        <v>0</v>
      </c>
      <c r="AB75" s="206">
        <f>'конкурсная документация'!AB32*AB12</f>
        <v>0</v>
      </c>
      <c r="AC75" s="206">
        <f>'конкурсная документация'!AC32*AC12</f>
        <v>0</v>
      </c>
      <c r="AD75" s="206">
        <f>'конкурсная документация'!AD32*AD12</f>
        <v>0</v>
      </c>
      <c r="AE75" s="206">
        <f>'конкурсная документация'!AE32*AE12</f>
        <v>0</v>
      </c>
      <c r="AF75" s="206">
        <f>'конкурсная документация'!AF32*AF12</f>
        <v>0</v>
      </c>
    </row>
    <row r="76" spans="1:32" s="16" customFormat="1" ht="15">
      <c r="A76" s="215" t="s">
        <v>10</v>
      </c>
      <c r="B76" s="191"/>
      <c r="C76" s="220">
        <f>C60*'конкурсная документация'!$B$10/(1-'конкурсная документация'!$B$10)</f>
        <v>0.18750000000000003</v>
      </c>
      <c r="D76" s="220">
        <f>D60*'конкурсная документация'!$B$10/(1-'конкурсная документация'!$B$10)</f>
        <v>1.2624276247902306</v>
      </c>
      <c r="E76" s="220">
        <f>E60*'конкурсная документация'!$B$10/(1-'конкурсная документация'!$B$10)</f>
        <v>5.700067192749112</v>
      </c>
      <c r="F76" s="220">
        <f>F60*'конкурсная документация'!$B$10/(1-'конкурсная документация'!$B$10)</f>
        <v>12.824255701741597</v>
      </c>
      <c r="G76" s="220">
        <f>G60*'конкурсная документация'!$B$10/(1-'конкурсная документация'!$B$10)</f>
        <v>20.074934398653035</v>
      </c>
      <c r="H76" s="220">
        <f>H60*'конкурсная документация'!$B$10/(1-'конкурсная документация'!$B$10)</f>
        <v>25.046120363791584</v>
      </c>
      <c r="I76" s="220">
        <f>I60*'конкурсная документация'!$B$10/(1-'конкурсная документация'!$B$10)</f>
        <v>30.369984756591787</v>
      </c>
      <c r="J76" s="220">
        <f>J60*'конкурсная документация'!$B$10/(1-'конкурсная документация'!$B$10)</f>
        <v>36.070982329172175</v>
      </c>
      <c r="K76" s="220">
        <f>K60*'конкурсная документация'!$B$10/(1-'конкурсная документация'!$B$10)</f>
        <v>42.20126525662136</v>
      </c>
      <c r="L76" s="220">
        <f>L60*'конкурсная документация'!$B$10/(1-'конкурсная документация'!$B$10)</f>
        <v>48.786345068285755</v>
      </c>
      <c r="M76" s="220">
        <f>M60*'конкурсная документация'!$B$10/(1-'конкурсная документация'!$B$10)</f>
        <v>58.42979153467473</v>
      </c>
      <c r="N76" s="220">
        <f>N60*'конкурсная документация'!$B$10/(1-'конкурсная документация'!$B$10)</f>
        <v>63.47931452874224</v>
      </c>
      <c r="O76" s="220">
        <f>O60*'конкурсная документация'!$B$10/(1-'конкурсная документация'!$B$10)</f>
        <v>83.06562201146296</v>
      </c>
      <c r="P76" s="220">
        <f>P60*'конкурсная документация'!$B$10/(1-'конкурсная документация'!$B$10)</f>
        <v>111.702999998873</v>
      </c>
      <c r="Q76" s="220">
        <f>Q60*'конкурсная документация'!$B$10/(1-'конкурсная документация'!$B$10)</f>
        <v>143.3607055319422</v>
      </c>
      <c r="R76" s="220">
        <f>R60*'конкурсная документация'!$B$10/(1-'конкурсная документация'!$B$10)</f>
        <v>177.9136265455779</v>
      </c>
      <c r="S76" s="220">
        <f>S60*'конкурсная документация'!$B$10/(1-'конкурсная документация'!$B$10)</f>
        <v>215.3289284039142</v>
      </c>
      <c r="T76" s="220">
        <f>T60*'конкурсная документация'!$B$10/(1-'конкурсная документация'!$B$10)</f>
        <v>255.55594945206138</v>
      </c>
      <c r="U76" s="220">
        <f>U60*'конкурсная документация'!$B$10/(1-'конкурсная документация'!$B$10)</f>
        <v>298.5251828339292</v>
      </c>
      <c r="V76" s="220">
        <f>V60*'конкурсная документация'!$B$10/(1-'конкурсная документация'!$B$10)</f>
        <v>344.18974365543494</v>
      </c>
      <c r="W76" s="220">
        <f>W60*'конкурсная документация'!$B$10/(1-'конкурсная документация'!$B$10)</f>
        <v>392.4660637713951</v>
      </c>
      <c r="X76" s="220">
        <f>X60*'конкурсная документация'!$B$10/(1-'конкурсная документация'!$B$10)</f>
        <v>443.276644481181</v>
      </c>
      <c r="Y76" s="220">
        <f>Y60*'конкурсная документация'!$B$10/(1-'конкурсная документация'!$B$10)</f>
        <v>497.00259127172984</v>
      </c>
      <c r="Z76" s="220">
        <f>Z60*'конкурсная документация'!$B$10/(1-'конкурсная документация'!$B$10)</f>
        <v>554.604446683439</v>
      </c>
      <c r="AA76" s="220">
        <f>AA60*'конкурсная документация'!$B$10/(1-'конкурсная документация'!$B$10)</f>
        <v>616.3693253414973</v>
      </c>
      <c r="AB76" s="220">
        <f>AB60*'конкурсная документация'!$B$10/(1-'конкурсная документация'!$B$10)</f>
        <v>690.3623914837017</v>
      </c>
      <c r="AC76" s="220">
        <f>AC60*'конкурсная документация'!$B$10/(1-'конкурсная документация'!$B$10)</f>
        <v>777.0324589470949</v>
      </c>
      <c r="AD76" s="220">
        <f>AD60*'конкурсная документация'!$B$10/(1-'конкурсная документация'!$B$10)</f>
        <v>868.0268944705456</v>
      </c>
      <c r="AE76" s="220">
        <f>AE60*'конкурсная документация'!$B$10/(1-'конкурсная документация'!$B$10)</f>
        <v>963.1475715753984</v>
      </c>
      <c r="AF76" s="220">
        <f>AF60*'конкурсная документация'!$B$10/(1-'конкурсная документация'!$B$10)</f>
        <v>1073.759978242468</v>
      </c>
    </row>
    <row r="77" spans="1:32" s="170" customFormat="1" ht="15">
      <c r="A77" s="219" t="s">
        <v>215</v>
      </c>
      <c r="B77" s="221"/>
      <c r="C77" s="221">
        <f>'расчет индексация'!C31</f>
        <v>503.025</v>
      </c>
      <c r="D77" s="221">
        <f>'расчет индексация'!D31</f>
        <v>511.4397164874667</v>
      </c>
      <c r="E77" s="221">
        <f>'расчет индексация'!E31</f>
        <v>522.52724199924</v>
      </c>
      <c r="F77" s="221">
        <f>'расчет индексация'!F31</f>
        <v>532.033460357603</v>
      </c>
      <c r="G77" s="221">
        <f>'расчет индексация'!G31</f>
        <v>536.7102526583539</v>
      </c>
      <c r="H77" s="221">
        <f>'расчет индексация'!H31</f>
        <v>538.5048708150749</v>
      </c>
      <c r="I77" s="221">
        <f>'расчет индексация'!I31</f>
        <v>540.406090355398</v>
      </c>
      <c r="J77" s="221">
        <f>'расчет индексация'!J31</f>
        <v>542.4228068375992</v>
      </c>
      <c r="K77" s="221">
        <f>'расчет индексация'!K31</f>
        <v>544.5636683198487</v>
      </c>
      <c r="L77" s="221">
        <f>'расчет индексация'!L31</f>
        <v>546.8380159623499</v>
      </c>
      <c r="M77" s="221">
        <f>'расчет индексация'!M31</f>
        <v>549.2697081815639</v>
      </c>
      <c r="N77" s="221">
        <f>'расчет индексация'!N31</f>
        <v>555.7294175373931</v>
      </c>
      <c r="O77" s="221">
        <f>'расчет индексация'!O31</f>
        <v>568.3351952679532</v>
      </c>
      <c r="P77" s="221">
        <f>'расчет индексация'!P31</f>
        <v>583.1920374693769</v>
      </c>
      <c r="Q77" s="221">
        <f>'расчет индексация'!Q31</f>
        <v>598.1722959234537</v>
      </c>
      <c r="R77" s="221">
        <f>'расчет индексация'!R31</f>
        <v>613.2977463602964</v>
      </c>
      <c r="S77" s="221">
        <f>'расчет индексация'!S31</f>
        <v>628.5752964038006</v>
      </c>
      <c r="T77" s="221">
        <f>'расчет индексация'!T31</f>
        <v>644.0111901724798</v>
      </c>
      <c r="U77" s="221">
        <f>'расчет индексация'!U31</f>
        <v>659.6114299363948</v>
      </c>
      <c r="V77" s="221">
        <f>'расчет индексация'!V31</f>
        <v>675.3859680495883</v>
      </c>
      <c r="W77" s="221">
        <f>'расчет индексация'!W31</f>
        <v>691.3401753957892</v>
      </c>
      <c r="X77" s="221">
        <f>'расчет индексация'!X31</f>
        <v>707.4795704767539</v>
      </c>
      <c r="Y77" s="221">
        <f>'расчет индексация'!Y31</f>
        <v>723.8131326532717</v>
      </c>
      <c r="Z77" s="221">
        <f>'расчет индексация'!Z31</f>
        <v>740.3484505816904</v>
      </c>
      <c r="AA77" s="221">
        <f>'расчет индексация'!AA31</f>
        <v>758.5132394642267</v>
      </c>
      <c r="AB77" s="221">
        <f>'расчет индексация'!AB31</f>
        <v>779.7769578373848</v>
      </c>
      <c r="AC77" s="221">
        <f>'расчет индексация'!AC31</f>
        <v>802.7528834468037</v>
      </c>
      <c r="AD77" s="221">
        <f>'расчет индексация'!AD31</f>
        <v>826.0140598427614</v>
      </c>
      <c r="AE77" s="221">
        <f>'расчет индексация'!AE31</f>
        <v>851.2404892573429</v>
      </c>
      <c r="AF77" s="221">
        <f>'расчет индексация'!AF31</f>
        <v>878.6587986563925</v>
      </c>
    </row>
    <row r="78" spans="1:32" s="171" customFormat="1" ht="12.75">
      <c r="A78" s="222" t="s">
        <v>18</v>
      </c>
      <c r="B78" s="223"/>
      <c r="C78" s="224">
        <f>'конкурсная документация'!C35*C12</f>
        <v>245.85000000000002</v>
      </c>
      <c r="D78" s="224">
        <f>'конкурсная документация'!D35*D12</f>
        <v>270.43500000000006</v>
      </c>
      <c r="E78" s="224">
        <f>'конкурсная документация'!E35*E12</f>
        <v>286.66110000000003</v>
      </c>
      <c r="F78" s="224">
        <f>'конкурсная документация'!F35*F12</f>
        <v>306.72737700000005</v>
      </c>
      <c r="G78" s="224">
        <f>'конкурсная документация'!G35*G12</f>
        <v>328.19829339000006</v>
      </c>
      <c r="H78" s="224">
        <f>'конкурсная документация'!H35*H12</f>
        <v>351.1721739273001</v>
      </c>
      <c r="I78" s="224">
        <f>'конкурсная документация'!I35*I12</f>
        <v>375.7542261022112</v>
      </c>
      <c r="J78" s="224">
        <f>'конкурсная документация'!J35*J12</f>
        <v>402.057021929366</v>
      </c>
      <c r="K78" s="224">
        <f>'конкурсная документация'!K35*K12</f>
        <v>430.2010134644216</v>
      </c>
      <c r="L78" s="224">
        <f>'конкурсная документация'!L35*L12</f>
        <v>460.31508440693113</v>
      </c>
      <c r="M78" s="224">
        <f>'конкурсная документация'!M35*M12</f>
        <v>492.5371403154163</v>
      </c>
      <c r="N78" s="224">
        <f>'конкурсная документация'!N35*N12</f>
        <v>527.0147401374956</v>
      </c>
      <c r="O78" s="224">
        <f>'конкурсная документация'!O35*O12</f>
        <v>563.9057719471202</v>
      </c>
      <c r="P78" s="224">
        <f>'конкурсная документация'!P35*P12</f>
        <v>603.3791759834187</v>
      </c>
      <c r="Q78" s="224">
        <f>'конкурсная документация'!Q35*Q12</f>
        <v>645.615718302258</v>
      </c>
      <c r="R78" s="224">
        <f>'конкурсная документация'!R35*R12</f>
        <v>690.808818583416</v>
      </c>
      <c r="S78" s="224">
        <f>'конкурсная документация'!S35*S12</f>
        <v>739.1654358842552</v>
      </c>
      <c r="T78" s="224">
        <f>'конкурсная документация'!T35*T12</f>
        <v>790.907016396153</v>
      </c>
      <c r="U78" s="224">
        <f>'конкурсная документация'!U35*U12</f>
        <v>846.2705075438838</v>
      </c>
      <c r="V78" s="224">
        <f>'конкурсная документация'!V35*V12</f>
        <v>905.5094430719557</v>
      </c>
      <c r="W78" s="224">
        <f>'конкурсная документация'!W35*W12</f>
        <v>968.8951040869927</v>
      </c>
      <c r="X78" s="224">
        <f>'конкурсная документация'!X35*X12</f>
        <v>1036.7177613730823</v>
      </c>
      <c r="Y78" s="224">
        <f>'конкурсная документация'!Y35*Y12</f>
        <v>1109.288004669198</v>
      </c>
      <c r="Z78" s="224">
        <f>'конкурсная документация'!Z35*Z12</f>
        <v>1186.9381649960421</v>
      </c>
      <c r="AA78" s="224">
        <f>'конкурсная документация'!AA35*AA12</f>
        <v>1270.023836545765</v>
      </c>
      <c r="AB78" s="224">
        <f>'конкурсная документация'!AB35*AB12</f>
        <v>1358.9255051039688</v>
      </c>
      <c r="AC78" s="224">
        <f>'конкурсная документация'!AC35*AC12</f>
        <v>1454.0502904612465</v>
      </c>
      <c r="AD78" s="224">
        <f>'конкурсная документация'!AD35*AD12</f>
        <v>1555.833810793534</v>
      </c>
      <c r="AE78" s="224">
        <f>'конкурсная документация'!AE35*AE12</f>
        <v>1664.7421775490814</v>
      </c>
      <c r="AF78" s="224">
        <f>'конкурсная документация'!AF35*AF12</f>
        <v>1781.274129977517</v>
      </c>
    </row>
    <row r="79" spans="1:32" s="236" customFormat="1" ht="15">
      <c r="A79" s="178" t="s">
        <v>34</v>
      </c>
      <c r="B79" s="8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</row>
    <row r="80" spans="1:32" s="16" customFormat="1" ht="15">
      <c r="A80" s="99" t="s">
        <v>11</v>
      </c>
      <c r="B80" s="225">
        <f>'конкурсная документация'!B43</f>
        <v>1500</v>
      </c>
      <c r="C80" s="195">
        <f aca="true" t="shared" si="45" ref="C80:AF80">C60+C52+C20+C67+C62+C74</f>
        <v>1722.2104991609222</v>
      </c>
      <c r="D80" s="195">
        <f t="shared" si="45"/>
        <v>2051.891449099325</v>
      </c>
      <c r="E80" s="195">
        <f t="shared" si="45"/>
        <v>2287.0337405780624</v>
      </c>
      <c r="F80" s="195">
        <f t="shared" si="45"/>
        <v>2161.102396851925</v>
      </c>
      <c r="G80" s="195">
        <f t="shared" si="45"/>
        <v>2314.114944586936</v>
      </c>
      <c r="H80" s="195">
        <f t="shared" si="45"/>
        <v>2445.861596542918</v>
      </c>
      <c r="I80" s="195">
        <f t="shared" si="45"/>
        <v>2586.0512099676694</v>
      </c>
      <c r="J80" s="195">
        <f t="shared" si="45"/>
        <v>2735.1658839948705</v>
      </c>
      <c r="K80" s="195">
        <f t="shared" si="45"/>
        <v>2910.699248859698</v>
      </c>
      <c r="L80" s="195">
        <f t="shared" si="45"/>
        <v>3080.7388154368055</v>
      </c>
      <c r="M80" s="195">
        <f t="shared" si="45"/>
        <v>3274.6698876427777</v>
      </c>
      <c r="N80" s="195">
        <f t="shared" si="45"/>
        <v>3458.4674658530835</v>
      </c>
      <c r="O80" s="195">
        <f t="shared" si="45"/>
        <v>3748.156836919707</v>
      </c>
      <c r="P80" s="195">
        <f t="shared" si="45"/>
        <v>4121.882982088505</v>
      </c>
      <c r="Q80" s="195">
        <f t="shared" si="45"/>
        <v>4507.0011658438125</v>
      </c>
      <c r="R80" s="195">
        <f t="shared" si="45"/>
        <v>4919.015695377307</v>
      </c>
      <c r="S80" s="195">
        <f t="shared" si="45"/>
        <v>5358.493365005367</v>
      </c>
      <c r="T80" s="195">
        <f t="shared" si="45"/>
        <v>5825.968986726796</v>
      </c>
      <c r="U80" s="195">
        <f t="shared" si="45"/>
        <v>6326.857169315726</v>
      </c>
      <c r="V80" s="195">
        <f t="shared" si="45"/>
        <v>6852.212923620419</v>
      </c>
      <c r="W80" s="195">
        <f t="shared" si="45"/>
        <v>7407.223375924526</v>
      </c>
      <c r="X80" s="195">
        <f t="shared" si="45"/>
        <v>7984.221238741509</v>
      </c>
      <c r="Y80" s="195">
        <f t="shared" si="45"/>
        <v>8577.710319918959</v>
      </c>
      <c r="Z80" s="195">
        <f t="shared" si="45"/>
        <v>9205.086962068468</v>
      </c>
      <c r="AA80" s="195">
        <f t="shared" si="45"/>
        <v>9886.063904491813</v>
      </c>
      <c r="AB80" s="195">
        <f t="shared" si="45"/>
        <v>10672.396376855995</v>
      </c>
      <c r="AC80" s="195">
        <f t="shared" si="45"/>
        <v>11553.435275689746</v>
      </c>
      <c r="AD80" s="195">
        <f t="shared" si="45"/>
        <v>12481.109338910652</v>
      </c>
      <c r="AE80" s="195">
        <f t="shared" si="45"/>
        <v>13461.891774999047</v>
      </c>
      <c r="AF80" s="195">
        <f t="shared" si="45"/>
        <v>14553.61316067346</v>
      </c>
    </row>
    <row r="81" spans="1:32" s="16" customFormat="1" ht="15">
      <c r="A81" s="99" t="s">
        <v>12</v>
      </c>
      <c r="B81" s="202"/>
      <c r="C81" s="210">
        <f>(C80-B80)/B80</f>
        <v>0.1481403327739481</v>
      </c>
      <c r="D81" s="210">
        <f>(D80-C80)/C80</f>
        <v>0.19142895139649121</v>
      </c>
      <c r="E81" s="210">
        <f>(E80-D80)/D80</f>
        <v>0.11459782221030873</v>
      </c>
      <c r="F81" s="210">
        <f>(F80-E80)/E80</f>
        <v>-0.05506317702785952</v>
      </c>
      <c r="G81" s="210">
        <f>(G80-F80)/F80</f>
        <v>0.07080300681629169</v>
      </c>
      <c r="H81" s="210">
        <f aca="true" t="shared" si="46" ref="H81:AF81">(H80-G80)/G80</f>
        <v>0.056931766619526564</v>
      </c>
      <c r="I81" s="210">
        <f t="shared" si="46"/>
        <v>0.05731706717293453</v>
      </c>
      <c r="J81" s="210">
        <f t="shared" si="46"/>
        <v>0.057661145089646273</v>
      </c>
      <c r="K81" s="210">
        <f t="shared" si="46"/>
        <v>0.0641764968962141</v>
      </c>
      <c r="L81" s="210">
        <f t="shared" si="46"/>
        <v>0.05841880319436046</v>
      </c>
      <c r="M81" s="210">
        <f t="shared" si="46"/>
        <v>0.06294953380475894</v>
      </c>
      <c r="N81" s="210">
        <f t="shared" si="46"/>
        <v>0.05612705540301339</v>
      </c>
      <c r="O81" s="210">
        <f t="shared" si="46"/>
        <v>0.08376235252372609</v>
      </c>
      <c r="P81" s="210">
        <f t="shared" si="46"/>
        <v>0.09970931351846303</v>
      </c>
      <c r="Q81" s="210">
        <f t="shared" si="46"/>
        <v>0.09343258540546273</v>
      </c>
      <c r="R81" s="210">
        <f t="shared" si="46"/>
        <v>0.09141655712360033</v>
      </c>
      <c r="S81" s="210">
        <f t="shared" si="46"/>
        <v>0.08934260365159315</v>
      </c>
      <c r="T81" s="210">
        <f t="shared" si="46"/>
        <v>0.08724012327315082</v>
      </c>
      <c r="U81" s="210">
        <f t="shared" si="46"/>
        <v>0.08597508564328013</v>
      </c>
      <c r="V81" s="210">
        <f t="shared" si="46"/>
        <v>0.08303581703291588</v>
      </c>
      <c r="W81" s="210">
        <f t="shared" si="46"/>
        <v>0.08099725716212322</v>
      </c>
      <c r="X81" s="210">
        <f t="shared" si="46"/>
        <v>0.07789664676407378</v>
      </c>
      <c r="Y81" s="210">
        <f t="shared" si="46"/>
        <v>0.07433274497676576</v>
      </c>
      <c r="Z81" s="210">
        <f t="shared" si="46"/>
        <v>0.07314033917566905</v>
      </c>
      <c r="AA81" s="210">
        <f t="shared" si="46"/>
        <v>0.07397832798641195</v>
      </c>
      <c r="AB81" s="210">
        <f t="shared" si="46"/>
        <v>0.07953948911931524</v>
      </c>
      <c r="AC81" s="210">
        <f t="shared" si="46"/>
        <v>0.08255305254069828</v>
      </c>
      <c r="AD81" s="210">
        <f t="shared" si="46"/>
        <v>0.08029421908589202</v>
      </c>
      <c r="AE81" s="210">
        <f t="shared" si="46"/>
        <v>0.07858135118091976</v>
      </c>
      <c r="AF81" s="210">
        <f t="shared" si="46"/>
        <v>0.08109717444779341</v>
      </c>
    </row>
    <row r="82" spans="1:32" s="16" customFormat="1" ht="15">
      <c r="A82" s="99" t="s">
        <v>103</v>
      </c>
      <c r="B82" s="225">
        <f>'конкурсная документация'!B44</f>
        <v>115</v>
      </c>
      <c r="C82" s="194">
        <f>'конкурсная документация'!C44</f>
        <v>117.4</v>
      </c>
      <c r="D82" s="194">
        <f>'конкурсная документация'!D44</f>
        <v>117.4</v>
      </c>
      <c r="E82" s="194">
        <f>'конкурсная документация'!E44</f>
        <v>117.4</v>
      </c>
      <c r="F82" s="194">
        <f>'конкурсная документация'!F44</f>
        <v>117.4</v>
      </c>
      <c r="G82" s="194">
        <f>'конкурсная документация'!G44</f>
        <v>121.5</v>
      </c>
      <c r="H82" s="194">
        <f>'конкурсная документация'!H44</f>
        <v>125.8</v>
      </c>
      <c r="I82" s="194">
        <f>'конкурсная документация'!I44</f>
        <v>130.3</v>
      </c>
      <c r="J82" s="194">
        <f>'конкурсная документация'!J44</f>
        <v>134.9</v>
      </c>
      <c r="K82" s="194">
        <f>'конкурсная документация'!K44</f>
        <v>139.7</v>
      </c>
      <c r="L82" s="194">
        <f>'конкурсная документация'!L44</f>
        <v>144.7</v>
      </c>
      <c r="M82" s="194">
        <f>'конкурсная документация'!M44</f>
        <v>149.8</v>
      </c>
      <c r="N82" s="194">
        <f>'конкурсная документация'!N44</f>
        <v>149.8</v>
      </c>
      <c r="O82" s="194">
        <f>'конкурсная документация'!O44</f>
        <v>149.8</v>
      </c>
      <c r="P82" s="194">
        <f>'конкурсная документация'!P44</f>
        <v>149.8</v>
      </c>
      <c r="Q82" s="194">
        <f>'конкурсная документация'!Q44</f>
        <v>149.8</v>
      </c>
      <c r="R82" s="194">
        <f>'конкурсная документация'!R44</f>
        <v>149.8</v>
      </c>
      <c r="S82" s="194">
        <f>'конкурсная документация'!S44</f>
        <v>149.8</v>
      </c>
      <c r="T82" s="194">
        <f>'конкурсная документация'!T44</f>
        <v>149.8</v>
      </c>
      <c r="U82" s="194">
        <f>'конкурсная документация'!U44</f>
        <v>149.8</v>
      </c>
      <c r="V82" s="194">
        <f>'конкурсная документация'!V44</f>
        <v>149.8</v>
      </c>
      <c r="W82" s="194">
        <f>'конкурсная документация'!W44</f>
        <v>149.8</v>
      </c>
      <c r="X82" s="194">
        <f>'конкурсная документация'!X44</f>
        <v>149.8</v>
      </c>
      <c r="Y82" s="194">
        <f>'конкурсная документация'!Y44</f>
        <v>149.8</v>
      </c>
      <c r="Z82" s="194">
        <f>'конкурсная документация'!Z44</f>
        <v>149.8</v>
      </c>
      <c r="AA82" s="194">
        <f>'конкурсная документация'!AA44</f>
        <v>149.8</v>
      </c>
      <c r="AB82" s="194">
        <f>'конкурсная документация'!AB44</f>
        <v>149.8</v>
      </c>
      <c r="AC82" s="194">
        <f>'конкурсная документация'!AC44</f>
        <v>149.8</v>
      </c>
      <c r="AD82" s="194">
        <f>'конкурсная документация'!AD44</f>
        <v>149.8</v>
      </c>
      <c r="AE82" s="194">
        <f>'конкурсная документация'!AE44</f>
        <v>149.8</v>
      </c>
      <c r="AF82" s="194">
        <f>'конкурсная документация'!AF44</f>
        <v>149.8</v>
      </c>
    </row>
    <row r="83" spans="1:32" s="16" customFormat="1" ht="14.25" customHeight="1">
      <c r="A83" s="99" t="s">
        <v>24</v>
      </c>
      <c r="B83" s="193">
        <f>B80*1000/B82</f>
        <v>13043.478260869566</v>
      </c>
      <c r="C83" s="198">
        <f aca="true" t="shared" si="47" ref="C83:AF83">C80*1000/C82</f>
        <v>14669.595393193544</v>
      </c>
      <c r="D83" s="198">
        <f t="shared" si="47"/>
        <v>17477.780656723382</v>
      </c>
      <c r="E83" s="198">
        <f t="shared" si="47"/>
        <v>19480.69625705334</v>
      </c>
      <c r="F83" s="198">
        <f t="shared" si="47"/>
        <v>18408.027230425254</v>
      </c>
      <c r="G83" s="198">
        <f t="shared" si="47"/>
        <v>19046.213535694947</v>
      </c>
      <c r="H83" s="198">
        <f t="shared" si="47"/>
        <v>19442.4610218038</v>
      </c>
      <c r="I83" s="198">
        <f t="shared" si="47"/>
        <v>19846.901074195466</v>
      </c>
      <c r="J83" s="198">
        <f t="shared" si="47"/>
        <v>20275.50692360912</v>
      </c>
      <c r="K83" s="198">
        <f t="shared" si="47"/>
        <v>20835.356112095193</v>
      </c>
      <c r="L83" s="198">
        <f t="shared" si="47"/>
        <v>21290.52394911407</v>
      </c>
      <c r="M83" s="198">
        <f t="shared" si="47"/>
        <v>21860.27962378356</v>
      </c>
      <c r="N83" s="198">
        <f t="shared" si="47"/>
        <v>23087.232749353025</v>
      </c>
      <c r="O83" s="198">
        <f t="shared" si="47"/>
        <v>25021.07367770165</v>
      </c>
      <c r="P83" s="198">
        <f t="shared" si="47"/>
        <v>27515.907757600162</v>
      </c>
      <c r="Q83" s="198">
        <f t="shared" si="47"/>
        <v>30086.790159170978</v>
      </c>
      <c r="R83" s="198">
        <f t="shared" si="47"/>
        <v>32837.220930422605</v>
      </c>
      <c r="S83" s="198">
        <f t="shared" si="47"/>
        <v>35770.98374502915</v>
      </c>
      <c r="T83" s="198">
        <f t="shared" si="47"/>
        <v>38891.64877654737</v>
      </c>
      <c r="U83" s="198">
        <f t="shared" si="47"/>
        <v>42235.3616109194</v>
      </c>
      <c r="V83" s="198">
        <f t="shared" si="47"/>
        <v>45742.40936996274</v>
      </c>
      <c r="W83" s="198">
        <f t="shared" si="47"/>
        <v>49447.41906491673</v>
      </c>
      <c r="X83" s="198">
        <f t="shared" si="47"/>
        <v>53299.20720121168</v>
      </c>
      <c r="Y83" s="198">
        <f t="shared" si="47"/>
        <v>57261.083577563135</v>
      </c>
      <c r="Z83" s="198">
        <f t="shared" si="47"/>
        <v>61449.17865199244</v>
      </c>
      <c r="AA83" s="198">
        <f t="shared" si="47"/>
        <v>65995.08614480516</v>
      </c>
      <c r="AB83" s="198">
        <f t="shared" si="47"/>
        <v>71244.30158114816</v>
      </c>
      <c r="AC83" s="198">
        <f t="shared" si="47"/>
        <v>77125.73615280203</v>
      </c>
      <c r="AD83" s="198">
        <f t="shared" si="47"/>
        <v>83318.48690861583</v>
      </c>
      <c r="AE83" s="198">
        <f t="shared" si="47"/>
        <v>89865.76618824463</v>
      </c>
      <c r="AF83" s="198">
        <f t="shared" si="47"/>
        <v>97153.62590569732</v>
      </c>
    </row>
    <row r="84" spans="1:32" s="16" customFormat="1" ht="15">
      <c r="A84" s="99" t="s">
        <v>13</v>
      </c>
      <c r="B84" s="202"/>
      <c r="C84" s="210">
        <f>(C83-B83)/B83</f>
        <v>0.12466898014483829</v>
      </c>
      <c r="D84" s="210">
        <f>(D83-C83)/C83</f>
        <v>0.19142895139649121</v>
      </c>
      <c r="E84" s="210">
        <f>(E83-D83)/D83</f>
        <v>0.11459782221030865</v>
      </c>
      <c r="F84" s="210">
        <f>(F83-E83)/E83</f>
        <v>-0.05506317702785938</v>
      </c>
      <c r="G84" s="210">
        <f>(G83-F83)/F83</f>
        <v>0.03466891358216176</v>
      </c>
      <c r="H84" s="210">
        <f aca="true" t="shared" si="48" ref="H84:AF84">(H83-G83)/G83</f>
        <v>0.02080452817386698</v>
      </c>
      <c r="I84" s="210">
        <f t="shared" si="48"/>
        <v>0.020801896011935227</v>
      </c>
      <c r="J84" s="210">
        <f t="shared" si="48"/>
        <v>0.021595605672208286</v>
      </c>
      <c r="K84" s="210">
        <f t="shared" si="48"/>
        <v>0.02761209328059645</v>
      </c>
      <c r="L84" s="210">
        <f t="shared" si="48"/>
        <v>0.02184593508121743</v>
      </c>
      <c r="M84" s="210">
        <f t="shared" si="48"/>
        <v>0.0267609982746901</v>
      </c>
      <c r="N84" s="210">
        <f t="shared" si="48"/>
        <v>0.05612705540301335</v>
      </c>
      <c r="O84" s="210">
        <f t="shared" si="48"/>
        <v>0.08376235252372624</v>
      </c>
      <c r="P84" s="210">
        <f t="shared" si="48"/>
        <v>0.09970931351846284</v>
      </c>
      <c r="Q84" s="210">
        <f t="shared" si="48"/>
        <v>0.09343258540546288</v>
      </c>
      <c r="R84" s="210">
        <f t="shared" si="48"/>
        <v>0.09141655712360025</v>
      </c>
      <c r="S84" s="210">
        <f t="shared" si="48"/>
        <v>0.0893426036515932</v>
      </c>
      <c r="T84" s="210">
        <f t="shared" si="48"/>
        <v>0.08724012327315088</v>
      </c>
      <c r="U84" s="210">
        <f t="shared" si="48"/>
        <v>0.08597508564327998</v>
      </c>
      <c r="V84" s="210">
        <f t="shared" si="48"/>
        <v>0.08303581703291592</v>
      </c>
      <c r="W84" s="210">
        <f t="shared" si="48"/>
        <v>0.08099725716212323</v>
      </c>
      <c r="X84" s="210">
        <f t="shared" si="48"/>
        <v>0.07789664676407383</v>
      </c>
      <c r="Y84" s="210">
        <f t="shared" si="48"/>
        <v>0.07433274497676563</v>
      </c>
      <c r="Z84" s="210">
        <f t="shared" si="48"/>
        <v>0.07314033917566917</v>
      </c>
      <c r="AA84" s="210">
        <f t="shared" si="48"/>
        <v>0.07397832798641188</v>
      </c>
      <c r="AB84" s="210">
        <f t="shared" si="48"/>
        <v>0.07953948911931524</v>
      </c>
      <c r="AC84" s="210">
        <f t="shared" si="48"/>
        <v>0.08255305254069813</v>
      </c>
      <c r="AD84" s="210">
        <f t="shared" si="48"/>
        <v>0.0802942190858922</v>
      </c>
      <c r="AE84" s="210">
        <f t="shared" si="48"/>
        <v>0.07858135118091966</v>
      </c>
      <c r="AF84" s="210">
        <f t="shared" si="48"/>
        <v>0.08109717444779348</v>
      </c>
    </row>
    <row r="85" spans="1:32" s="91" customFormat="1" ht="15">
      <c r="A85" s="177" t="s">
        <v>44</v>
      </c>
      <c r="B85" s="89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8"/>
      <c r="X85" s="149"/>
      <c r="Y85" s="149"/>
      <c r="Z85" s="149"/>
      <c r="AA85" s="149"/>
      <c r="AB85" s="149"/>
      <c r="AC85" s="149"/>
      <c r="AD85" s="149"/>
      <c r="AE85" s="149"/>
      <c r="AF85" s="149"/>
    </row>
    <row r="86" spans="1:32" s="16" customFormat="1" ht="15">
      <c r="A86" s="226" t="s">
        <v>46</v>
      </c>
      <c r="B86" s="191"/>
      <c r="C86" s="220">
        <f>SUM(C87:C91)</f>
        <v>1749.7104991609222</v>
      </c>
      <c r="D86" s="220">
        <f aca="true" t="shared" si="49" ref="D86:AF86">SUM(D87:D91)</f>
        <v>2082.361324664299</v>
      </c>
      <c r="E86" s="220">
        <f t="shared" si="49"/>
        <v>2319.087740283188</v>
      </c>
      <c r="F86" s="220">
        <f t="shared" si="49"/>
        <v>2195.400176536409</v>
      </c>
      <c r="G86" s="220">
        <f t="shared" si="49"/>
        <v>2350.813568849334</v>
      </c>
      <c r="H86" s="220">
        <f t="shared" si="49"/>
        <v>2485.129124503684</v>
      </c>
      <c r="I86" s="220">
        <f t="shared" si="49"/>
        <v>2628.067464885689</v>
      </c>
      <c r="J86" s="220">
        <f t="shared" si="49"/>
        <v>2780.1232767571514</v>
      </c>
      <c r="K86" s="220">
        <f t="shared" si="49"/>
        <v>2958.8036591153386</v>
      </c>
      <c r="L86" s="220">
        <f t="shared" si="49"/>
        <v>5006.6002157907915</v>
      </c>
      <c r="M86" s="220">
        <f t="shared" si="49"/>
        <v>3329.744626944461</v>
      </c>
      <c r="N86" s="220">
        <f t="shared" si="49"/>
        <v>3517.397436905884</v>
      </c>
      <c r="O86" s="220">
        <f t="shared" si="49"/>
        <v>3811.211905946204</v>
      </c>
      <c r="P86" s="220">
        <f t="shared" si="49"/>
        <v>4189.351905946856</v>
      </c>
      <c r="Q86" s="220">
        <f t="shared" si="49"/>
        <v>4579.192914372249</v>
      </c>
      <c r="R86" s="220">
        <f t="shared" si="49"/>
        <v>4996.260866302734</v>
      </c>
      <c r="S86" s="220">
        <f t="shared" si="49"/>
        <v>5441.145697895574</v>
      </c>
      <c r="T86" s="220">
        <f t="shared" si="49"/>
        <v>5914.406982919318</v>
      </c>
      <c r="U86" s="220">
        <f t="shared" si="49"/>
        <v>6421.485825241724</v>
      </c>
      <c r="V86" s="220">
        <f t="shared" si="49"/>
        <v>6953.4655854612365</v>
      </c>
      <c r="W86" s="220">
        <f t="shared" si="49"/>
        <v>7515.563724094201</v>
      </c>
      <c r="X86" s="220">
        <f t="shared" si="49"/>
        <v>8100.145411283062</v>
      </c>
      <c r="Y86" s="220">
        <f t="shared" si="49"/>
        <v>8701.74918453842</v>
      </c>
      <c r="Z86" s="220">
        <f t="shared" si="49"/>
        <v>9337.80854721129</v>
      </c>
      <c r="AA86" s="220">
        <f t="shared" si="49"/>
        <v>10028.076000594634</v>
      </c>
      <c r="AB86" s="220">
        <f t="shared" si="49"/>
        <v>10824.349319686013</v>
      </c>
      <c r="AC86" s="220">
        <f t="shared" si="49"/>
        <v>11716.024924517866</v>
      </c>
      <c r="AD86" s="220">
        <f t="shared" si="49"/>
        <v>12655.08026315674</v>
      </c>
      <c r="AE86" s="220">
        <f t="shared" si="49"/>
        <v>13648.040663942362</v>
      </c>
      <c r="AF86" s="220">
        <f t="shared" si="49"/>
        <v>14752.792471842806</v>
      </c>
    </row>
    <row r="87" spans="1:32" s="16" customFormat="1" ht="18" customHeight="1">
      <c r="A87" s="227" t="s">
        <v>41</v>
      </c>
      <c r="B87" s="191"/>
      <c r="C87" s="220">
        <f>C80</f>
        <v>1722.2104991609222</v>
      </c>
      <c r="D87" s="220">
        <f aca="true" t="shared" si="50" ref="D87:AF87">D80</f>
        <v>2051.891449099325</v>
      </c>
      <c r="E87" s="220">
        <f t="shared" si="50"/>
        <v>2287.0337405780624</v>
      </c>
      <c r="F87" s="220">
        <f t="shared" si="50"/>
        <v>2161.102396851925</v>
      </c>
      <c r="G87" s="220">
        <f t="shared" si="50"/>
        <v>2314.114944586936</v>
      </c>
      <c r="H87" s="220">
        <f t="shared" si="50"/>
        <v>2445.861596542918</v>
      </c>
      <c r="I87" s="220">
        <f t="shared" si="50"/>
        <v>2586.0512099676694</v>
      </c>
      <c r="J87" s="220">
        <f t="shared" si="50"/>
        <v>2735.1658839948705</v>
      </c>
      <c r="K87" s="220">
        <f t="shared" si="50"/>
        <v>2910.699248859698</v>
      </c>
      <c r="L87" s="220">
        <f t="shared" si="50"/>
        <v>3080.7388154368055</v>
      </c>
      <c r="M87" s="220">
        <f t="shared" si="50"/>
        <v>3274.6698876427777</v>
      </c>
      <c r="N87" s="220">
        <f t="shared" si="50"/>
        <v>3458.4674658530835</v>
      </c>
      <c r="O87" s="220">
        <f t="shared" si="50"/>
        <v>3748.156836919707</v>
      </c>
      <c r="P87" s="220">
        <f t="shared" si="50"/>
        <v>4121.882982088505</v>
      </c>
      <c r="Q87" s="220">
        <f t="shared" si="50"/>
        <v>4507.0011658438125</v>
      </c>
      <c r="R87" s="220">
        <f t="shared" si="50"/>
        <v>4919.015695377307</v>
      </c>
      <c r="S87" s="220">
        <f t="shared" si="50"/>
        <v>5358.493365005367</v>
      </c>
      <c r="T87" s="220">
        <f t="shared" si="50"/>
        <v>5825.968986726796</v>
      </c>
      <c r="U87" s="220">
        <f t="shared" si="50"/>
        <v>6326.857169315726</v>
      </c>
      <c r="V87" s="220">
        <f t="shared" si="50"/>
        <v>6852.212923620419</v>
      </c>
      <c r="W87" s="220">
        <f t="shared" si="50"/>
        <v>7407.223375924526</v>
      </c>
      <c r="X87" s="220">
        <f t="shared" si="50"/>
        <v>7984.221238741509</v>
      </c>
      <c r="Y87" s="220">
        <f t="shared" si="50"/>
        <v>8577.710319918959</v>
      </c>
      <c r="Z87" s="220">
        <f t="shared" si="50"/>
        <v>9205.086962068468</v>
      </c>
      <c r="AA87" s="220">
        <f t="shared" si="50"/>
        <v>9886.063904491813</v>
      </c>
      <c r="AB87" s="220">
        <f t="shared" si="50"/>
        <v>10672.396376855995</v>
      </c>
      <c r="AC87" s="220">
        <f t="shared" si="50"/>
        <v>11553.435275689746</v>
      </c>
      <c r="AD87" s="220">
        <f t="shared" si="50"/>
        <v>12481.109338910652</v>
      </c>
      <c r="AE87" s="220">
        <f t="shared" si="50"/>
        <v>13461.891774999047</v>
      </c>
      <c r="AF87" s="220">
        <f t="shared" si="50"/>
        <v>14553.61316067346</v>
      </c>
    </row>
    <row r="88" spans="1:32" s="16" customFormat="1" ht="78" customHeight="1">
      <c r="A88" s="228" t="s">
        <v>228</v>
      </c>
      <c r="B88" s="218"/>
      <c r="C88" s="221">
        <f>IF('основные условия'!$J$10=1,'конкурсные предложения'!B15,'конкурсные предложения'!B18)*C12</f>
        <v>0</v>
      </c>
      <c r="D88" s="221">
        <f>IF('основные условия'!$J$10=1,'конкурсные предложения'!C15,'конкурсные предложения'!C18)*D12</f>
        <v>0</v>
      </c>
      <c r="E88" s="221">
        <f>IF('основные условия'!$J$10=1,'конкурсные предложения'!D15,'конкурсные предложения'!D18)*E12</f>
        <v>0</v>
      </c>
      <c r="F88" s="221">
        <f>IF('основные условия'!$J$10=1,'конкурсные предложения'!E15,'конкурсные предложения'!E18)*F12</f>
        <v>0</v>
      </c>
      <c r="G88" s="221">
        <f>IF('основные условия'!$J$10=1,'конкурсные предложения'!F15,'конкурсные предложения'!F18)*G12</f>
        <v>0</v>
      </c>
      <c r="H88" s="221">
        <f>IF('основные условия'!$J$10=1,'конкурсные предложения'!G15,'конкурсные предложения'!G18)*H12</f>
        <v>0</v>
      </c>
      <c r="I88" s="221">
        <f>IF('основные условия'!$J$10=1,'конкурсные предложения'!H15,'конкурсные предложения'!H18)*I12</f>
        <v>0</v>
      </c>
      <c r="J88" s="221">
        <f>IF('основные условия'!$J$10=1,'конкурсные предложения'!I15,'конкурсные предложения'!I18)*J12</f>
        <v>0</v>
      </c>
      <c r="K88" s="221">
        <f>IF('основные условия'!$J$10=1,'конкурсные предложения'!J15,'конкурсные предложения'!J18)*K12</f>
        <v>0</v>
      </c>
      <c r="L88" s="221">
        <f>IF('основные условия'!$J$10=1,'конкурсные предложения'!K15,'конкурсные предложения'!K18)*L12</f>
        <v>0</v>
      </c>
      <c r="M88" s="221">
        <f>IF('основные условия'!$J$10=1,'конкурсные предложения'!L15,'конкурсные предложения'!L18)*M12</f>
        <v>0</v>
      </c>
      <c r="N88" s="221">
        <f>IF('основные условия'!$J$10=1,'конкурсные предложения'!M15,'конкурсные предложения'!M18)*N12</f>
        <v>0</v>
      </c>
      <c r="O88" s="221">
        <f>IF('основные условия'!$J$10=1,'конкурсные предложения'!N15,'конкурсные предложения'!N18)*O12</f>
        <v>0</v>
      </c>
      <c r="P88" s="221">
        <f>IF('основные условия'!$J$10=1,'конкурсные предложения'!O15,'конкурсные предложения'!O18)*P12</f>
        <v>0</v>
      </c>
      <c r="Q88" s="221">
        <f>IF('основные условия'!$J$10=1,'конкурсные предложения'!P15,'конкурсные предложения'!P18)*Q12</f>
        <v>0</v>
      </c>
      <c r="R88" s="221">
        <f>IF('основные условия'!$J$10=1,'конкурсные предложения'!Q15,'конкурсные предложения'!Q18)*R12</f>
        <v>0</v>
      </c>
      <c r="S88" s="221">
        <f>IF('основные условия'!$J$10=1,'конкурсные предложения'!R15,'конкурсные предложения'!R18)*S12</f>
        <v>0</v>
      </c>
      <c r="T88" s="221">
        <f>IF('основные условия'!$J$10=1,'конкурсные предложения'!S15,'конкурсные предложения'!S18)*T12</f>
        <v>0</v>
      </c>
      <c r="U88" s="221">
        <f>IF('основные условия'!$J$10=1,'конкурсные предложения'!T15,'конкурсные предложения'!T18)*U12</f>
        <v>0</v>
      </c>
      <c r="V88" s="221">
        <f>IF('основные условия'!$J$10=1,'конкурсные предложения'!U15,'конкурсные предложения'!U18)*V12</f>
        <v>0</v>
      </c>
      <c r="W88" s="221">
        <f>IF('основные условия'!$J$10=1,'конкурсные предложения'!V15,'конкурсные предложения'!V18)*W12</f>
        <v>0</v>
      </c>
      <c r="X88" s="221">
        <f>IF('основные условия'!$J$10=1,'конкурсные предложения'!W15,'конкурсные предложения'!W18)*X12</f>
        <v>0</v>
      </c>
      <c r="Y88" s="221">
        <f>IF('основные условия'!$J$10=1,'конкурсные предложения'!X15,'конкурсные предложения'!X18)*Y12</f>
        <v>0</v>
      </c>
      <c r="Z88" s="221">
        <f>IF('основные условия'!$J$10=1,'конкурсные предложения'!Y15,'конкурсные предложения'!Y18)*Z12</f>
        <v>0</v>
      </c>
      <c r="AA88" s="221">
        <f>IF('основные условия'!$J$10=1,'конкурсные предложения'!Z15,'конкурсные предложения'!Z18)*AA12</f>
        <v>0</v>
      </c>
      <c r="AB88" s="221">
        <f>IF('основные условия'!$J$10=1,'конкурсные предложения'!AA15,'конкурсные предложения'!AA18)*AB12</f>
        <v>0</v>
      </c>
      <c r="AC88" s="221">
        <f>IF('основные условия'!$J$10=1,'конкурсные предложения'!AB15,'конкурсные предложения'!AB18)*AC12</f>
        <v>0</v>
      </c>
      <c r="AD88" s="221">
        <f>IF('основные условия'!$J$10=1,'конкурсные предложения'!AC15,'конкурсные предложения'!AC18)*AD12</f>
        <v>0</v>
      </c>
      <c r="AE88" s="221">
        <f>IF('основные условия'!$J$10=1,'конкурсные предложения'!AD15,'конкурсные предложения'!AD18)*AE12</f>
        <v>0</v>
      </c>
      <c r="AF88" s="221">
        <f>IF('основные условия'!$J$10=1,'конкурсные предложения'!AE15,'конкурсные предложения'!AE18)*AF12</f>
        <v>0</v>
      </c>
    </row>
    <row r="89" spans="1:32" s="170" customFormat="1" ht="60.75" customHeight="1">
      <c r="A89" s="229" t="s">
        <v>229</v>
      </c>
      <c r="B89" s="218"/>
      <c r="C89" s="221">
        <f>'конкурсные предложения'!B16*C8</f>
        <v>16.5</v>
      </c>
      <c r="D89" s="221">
        <f>'конкурсные предложения'!C16*D8</f>
        <v>18.315000000000005</v>
      </c>
      <c r="E89" s="221">
        <f>'конкурсные предложения'!D16*E8</f>
        <v>19.230750000000004</v>
      </c>
      <c r="F89" s="221">
        <f>'конкурсные предложения'!E16*F8</f>
        <v>20.57690250000001</v>
      </c>
      <c r="G89" s="221">
        <f>'конкурсные предложения'!F16*G8</f>
        <v>22.01728567500001</v>
      </c>
      <c r="H89" s="221">
        <f>'конкурсные предложения'!G16*H8</f>
        <v>23.55849567225001</v>
      </c>
      <c r="I89" s="221">
        <f>'конкурсные предложения'!H16*I8</f>
        <v>25.207590369307514</v>
      </c>
      <c r="J89" s="221">
        <f>'конкурсные предложения'!I16*J8</f>
        <v>26.972121695159043</v>
      </c>
      <c r="K89" s="221">
        <f>'конкурсные предложения'!J16*K8</f>
        <v>28.860170213820176</v>
      </c>
      <c r="L89" s="221">
        <f>'конкурсные предложения'!K16*L8</f>
        <v>30.880382128787588</v>
      </c>
      <c r="M89" s="221">
        <f>'конкурсные предложения'!L16*M8</f>
        <v>33.04200887780272</v>
      </c>
      <c r="N89" s="221">
        <f>'конкурсные предложения'!M16*N8</f>
        <v>35.35494949924892</v>
      </c>
      <c r="O89" s="221">
        <f>'конкурсные предложения'!N16*O8</f>
        <v>37.82979596419634</v>
      </c>
      <c r="P89" s="221">
        <f>'конкурсные предложения'!O16*P8</f>
        <v>40.477881681690086</v>
      </c>
      <c r="Q89" s="221">
        <f>'конкурсные предложения'!P16*Q8</f>
        <v>43.3113333994084</v>
      </c>
      <c r="R89" s="221">
        <f>'конкурсные предложения'!Q16*R8</f>
        <v>46.343126737366994</v>
      </c>
      <c r="S89" s="221">
        <f>'конкурсные предложения'!R16*S8</f>
        <v>49.58714560898269</v>
      </c>
      <c r="T89" s="221">
        <f>'конкурсные предложения'!S16*T8</f>
        <v>53.05824580161148</v>
      </c>
      <c r="U89" s="221">
        <f>'конкурсные предложения'!T16*U8</f>
        <v>56.77232300772428</v>
      </c>
      <c r="V89" s="221">
        <f>'конкурсные предложения'!U16*V8</f>
        <v>60.74638561826498</v>
      </c>
      <c r="W89" s="221">
        <f>'конкурсные предложения'!V16*W8</f>
        <v>64.99863261154353</v>
      </c>
      <c r="X89" s="221">
        <f>'конкурсные предложения'!W16*X8</f>
        <v>69.54853689435157</v>
      </c>
      <c r="Y89" s="221">
        <f>'конкурсные предложения'!X16*Y8</f>
        <v>74.41693447695619</v>
      </c>
      <c r="Z89" s="221">
        <f>'конкурсные предложения'!Y16*Z8</f>
        <v>79.62611989034313</v>
      </c>
      <c r="AA89" s="221">
        <f>'конкурсные предложения'!Z16*AA8</f>
        <v>85.19994828266715</v>
      </c>
      <c r="AB89" s="221">
        <f>'конкурсные предложения'!AA16*AB8</f>
        <v>91.16394466245386</v>
      </c>
      <c r="AC89" s="221">
        <f>'конкурсные предложения'!AB16*AC8</f>
        <v>97.54542078882564</v>
      </c>
      <c r="AD89" s="221">
        <f>'конкурсные предложения'!AC16*AD8</f>
        <v>104.37360024404344</v>
      </c>
      <c r="AE89" s="221">
        <f>'конкурсные предложения'!AD16*AE8</f>
        <v>111.67975226112648</v>
      </c>
      <c r="AF89" s="221">
        <f>'конкурсные предложения'!AE16*AF8</f>
        <v>119.49733491940535</v>
      </c>
    </row>
    <row r="90" spans="1:32" s="170" customFormat="1" ht="15" customHeight="1">
      <c r="A90" s="229" t="s">
        <v>224</v>
      </c>
      <c r="B90" s="218"/>
      <c r="C90" s="221">
        <f>'конкурсные предложения'!B17*(C8*C12)^(1/2)</f>
        <v>11</v>
      </c>
      <c r="D90" s="221">
        <f>'конкурсные предложения'!C17*(D8*D12)^(1/2)</f>
        <v>12.154875564973919</v>
      </c>
      <c r="E90" s="221">
        <f>'конкурсные предложения'!D17*(E8*E12)^(1/2)</f>
        <v>12.823249705125455</v>
      </c>
      <c r="F90" s="221">
        <f>'конкурсные предложения'!E17*(F8*F12)^(1/2)</f>
        <v>13.720877184484237</v>
      </c>
      <c r="G90" s="221">
        <f>'конкурсные предложения'!F17*(G8*G12)^(1/2)</f>
        <v>14.681338587398136</v>
      </c>
      <c r="H90" s="221">
        <f>'конкурсные предложения'!G17*(H8*H12)^(1/2)</f>
        <v>15.709032288516005</v>
      </c>
      <c r="I90" s="221">
        <f>'конкурсные предложения'!H17*(I8*I12)^(1/2)</f>
        <v>16.80866454871213</v>
      </c>
      <c r="J90" s="221">
        <f>'конкурсные предложения'!I17*(J8*J12)^(1/2)</f>
        <v>17.985271067121978</v>
      </c>
      <c r="K90" s="221">
        <f>'конкурсные предложения'!J17*(K8*K12)^(1/2)</f>
        <v>19.244240041820518</v>
      </c>
      <c r="L90" s="221">
        <f>'конкурсные предложения'!K17*(L8*L12)^(1/2)</f>
        <v>20.591336844747957</v>
      </c>
      <c r="M90" s="221">
        <f>'конкурсные предложения'!L17*(M8*M12)^(1/2)</f>
        <v>22.03273042388031</v>
      </c>
      <c r="N90" s="221">
        <f>'конкурсные предложения'!M17*(N8*N12)^(1/2)</f>
        <v>23.575021553551938</v>
      </c>
      <c r="O90" s="221">
        <f>'конкурсные предложения'!N17*(O8*O12)^(1/2)</f>
        <v>25.22527306230057</v>
      </c>
      <c r="P90" s="221">
        <f>'конкурсные предложения'!O17*(P8*P12)^(1/2)</f>
        <v>26.99104217666161</v>
      </c>
      <c r="Q90" s="221">
        <f>'конкурсные предложения'!P17*(Q8*Q12)^(1/2)</f>
        <v>28.88041512902793</v>
      </c>
      <c r="R90" s="221">
        <f>'конкурсные предложения'!Q17*(R8*R12)^(1/2)</f>
        <v>30.902044188059886</v>
      </c>
      <c r="S90" s="221">
        <f>'конкурсные предложения'!R17*(S8*S12)^(1/2)</f>
        <v>33.06518728122408</v>
      </c>
      <c r="T90" s="221">
        <f>'конкурсные предложения'!S17*(T8*T12)^(1/2)</f>
        <v>35.37975039090976</v>
      </c>
      <c r="U90" s="221">
        <f>'конкурсные предложения'!T17*(U8*U12)^(1/2)</f>
        <v>37.85633291827345</v>
      </c>
      <c r="V90" s="221">
        <f>'конкурсные предложения'!U17*(V8*V12)^(1/2)</f>
        <v>40.50627622255259</v>
      </c>
      <c r="W90" s="221">
        <f>'конкурсные предложения'!V17*(W8*W12)^(1/2)</f>
        <v>43.34171555813128</v>
      </c>
      <c r="X90" s="221">
        <f>'конкурсные предложения'!W17*(X8*X12)^(1/2)</f>
        <v>46.37563564720047</v>
      </c>
      <c r="Y90" s="221">
        <f>'конкурсные предложения'!X17*(Y8*Y12)^(1/2)</f>
        <v>49.621930142504496</v>
      </c>
      <c r="Z90" s="221">
        <f>'конкурсные предложения'!Y17*(Z8*Z12)^(1/2)</f>
        <v>53.09546525247982</v>
      </c>
      <c r="AA90" s="221">
        <f>'конкурсные предложения'!Z17*(AA8*AA12)^(1/2)</f>
        <v>56.81214782015341</v>
      </c>
      <c r="AB90" s="221">
        <f>'конкурсные предложения'!AA17*(AB8*AB12)^(1/2)</f>
        <v>60.78899816756416</v>
      </c>
      <c r="AC90" s="221">
        <f>'конкурсные предложения'!AB17*(AC8*AC12)^(1/2)</f>
        <v>65.04422803929364</v>
      </c>
      <c r="AD90" s="221">
        <f>'конкурсные предложения'!AC17*(AD8*AD12)^(1/2)</f>
        <v>69.59732400204422</v>
      </c>
      <c r="AE90" s="221">
        <f>'конкурсные предложения'!AD17*(AE8*AE12)^(1/2)</f>
        <v>74.4691366821873</v>
      </c>
      <c r="AF90" s="221">
        <f>'конкурсные предложения'!AE17*(AF8*AF12)^(1/2)</f>
        <v>79.68197624994042</v>
      </c>
    </row>
    <row r="91" spans="1:32" s="16" customFormat="1" ht="62.25" customHeight="1">
      <c r="A91" s="227" t="s">
        <v>45</v>
      </c>
      <c r="B91" s="191"/>
      <c r="C91" s="220">
        <f>IF(C$5='основные условия'!$E$19,C22,0)</f>
        <v>0</v>
      </c>
      <c r="D91" s="220">
        <f>IF(D$5='основные условия'!$E$19,D22,0)</f>
        <v>0</v>
      </c>
      <c r="E91" s="220">
        <f>IF(E$5='основные условия'!$E$19,E22,0)</f>
        <v>0</v>
      </c>
      <c r="F91" s="220">
        <f>IF(F$5='основные условия'!$E$19,F22,0)</f>
        <v>0</v>
      </c>
      <c r="G91" s="220">
        <f>IF(G$5='основные условия'!$E$19,G22,0)</f>
        <v>0</v>
      </c>
      <c r="H91" s="220">
        <f>IF(H$5='основные условия'!$E$19,H22,0)</f>
        <v>0</v>
      </c>
      <c r="I91" s="220">
        <f>IF(I$5='основные условия'!$E$19,I22,0)</f>
        <v>0</v>
      </c>
      <c r="J91" s="220">
        <f>IF(J$5='основные условия'!$E$19,J22,0)</f>
        <v>0</v>
      </c>
      <c r="K91" s="220">
        <f>IF(K$5='основные условия'!$E$19,K22,0)</f>
        <v>0</v>
      </c>
      <c r="L91" s="220">
        <f>IF(L$5='основные условия'!$E$19,L22,0)</f>
        <v>1874.3896813804506</v>
      </c>
      <c r="M91" s="220">
        <f>IF(M$5='основные условия'!$E$19,M22,0)</f>
        <v>0</v>
      </c>
      <c r="N91" s="220">
        <f>IF(N$5='основные условия'!$E$19,N22,0)</f>
        <v>0</v>
      </c>
      <c r="O91" s="220">
        <f>IF(O$5='основные условия'!$E$19,O22,0)</f>
        <v>0</v>
      </c>
      <c r="P91" s="220">
        <f>IF(P$5='основные условия'!$E$19,P22,0)</f>
        <v>0</v>
      </c>
      <c r="Q91" s="220">
        <f>IF(Q$5='основные условия'!$E$19,Q22,0)</f>
        <v>0</v>
      </c>
      <c r="R91" s="220">
        <f>IF(R$5='основные условия'!$E$19,R22,0)</f>
        <v>0</v>
      </c>
      <c r="S91" s="220">
        <f>IF(S$5='основные условия'!$E$19,S22,0)</f>
        <v>0</v>
      </c>
      <c r="T91" s="220">
        <f>IF(T$5='основные условия'!$E$19,T22,0)</f>
        <v>0</v>
      </c>
      <c r="U91" s="220">
        <f>IF(U$5='основные условия'!$E$19,U22,0)</f>
        <v>0</v>
      </c>
      <c r="V91" s="220">
        <f>IF(V$5='основные условия'!$E$19,V22,0)</f>
        <v>0</v>
      </c>
      <c r="W91" s="220">
        <f>IF(W$5='основные условия'!$E$19,W22,0)</f>
        <v>0</v>
      </c>
      <c r="X91" s="220">
        <f>IF(X$5='основные условия'!$E$19,X22,0)</f>
        <v>0</v>
      </c>
      <c r="Y91" s="220">
        <f>IF(Y$5='основные условия'!$E$19,Y22,0)</f>
        <v>0</v>
      </c>
      <c r="Z91" s="220">
        <f>IF(Z$5='основные условия'!$E$19,Z22,0)</f>
        <v>0</v>
      </c>
      <c r="AA91" s="220">
        <f>IF(AA$5='основные условия'!$E$19,AA22,0)</f>
        <v>0</v>
      </c>
      <c r="AB91" s="220">
        <f>IF(AB$5='основные условия'!$E$19,AB22,0)</f>
        <v>0</v>
      </c>
      <c r="AC91" s="220">
        <f>IF(AC$5='основные условия'!$E$19,AC22,0)</f>
        <v>0</v>
      </c>
      <c r="AD91" s="220">
        <f>IF(AD$5='основные условия'!$E$19,AD22,0)</f>
        <v>0</v>
      </c>
      <c r="AE91" s="220">
        <f>IF(AE$5='основные условия'!$E$19,AE22,0)</f>
        <v>0</v>
      </c>
      <c r="AF91" s="220">
        <f>IF(AF$5='основные условия'!$E$19,AF22,0)</f>
        <v>0</v>
      </c>
    </row>
    <row r="92" spans="1:32" s="16" customFormat="1" ht="15">
      <c r="A92" s="226" t="s">
        <v>44</v>
      </c>
      <c r="B92" s="191"/>
      <c r="C92" s="220">
        <f>C86/((1+'конкурсная документация'!$B$8)^(C5-1))</f>
        <v>1749.7104991609222</v>
      </c>
      <c r="D92" s="220">
        <f>D86/((1+'конкурсная документация'!$B$8)^(D5-1))</f>
        <v>1881.0852074654915</v>
      </c>
      <c r="E92" s="220">
        <f>E86/((1+'конкурсная документация'!$B$8)^(E5-1))</f>
        <v>1892.4392123076423</v>
      </c>
      <c r="F92" s="220">
        <f>F86/((1+'конкурсная документация'!$B$8)^(F5-1))</f>
        <v>1618.3439632747977</v>
      </c>
      <c r="G92" s="220">
        <f>G86/((1+'конкурсная документация'!$B$8)^(G5-1))</f>
        <v>1565.4085634793148</v>
      </c>
      <c r="H92" s="220">
        <f>H86/((1+'конкурсная документация'!$B$8)^(H5-1))</f>
        <v>1494.895569367688</v>
      </c>
      <c r="I92" s="220">
        <f>I86/((1+'конкурсная документация'!$B$8)^(I5-1))</f>
        <v>1428.0742373469416</v>
      </c>
      <c r="J92" s="220">
        <f>J86/((1+'конкурсная документация'!$B$8)^(J5-1))</f>
        <v>1364.6796259032753</v>
      </c>
      <c r="K92" s="220">
        <f>K86/((1+'конкурсная документация'!$B$8)^(K5-1))</f>
        <v>1312.0040633829797</v>
      </c>
      <c r="L92" s="220">
        <f>L86/((1+'конкурсная документация'!$B$8)^(L5-1))</f>
        <v>2005.4614854137585</v>
      </c>
      <c r="M92" s="220">
        <f>M86/((1+'конкурсная документация'!$B$8)^(M5-1))</f>
        <v>1204.8548161745937</v>
      </c>
      <c r="N92" s="220">
        <f>N86/((1+'конкурсная документация'!$B$8)^(N5-1))</f>
        <v>1149.7346316249798</v>
      </c>
      <c r="O92" s="220">
        <f>O86/((1+'конкурсная документация'!$B$8)^(O5-1))</f>
        <v>1125.3604444328964</v>
      </c>
      <c r="P92" s="220">
        <f>P86/((1+'конкурсная документация'!$B$8)^(P5-1))</f>
        <v>1117.449154499243</v>
      </c>
      <c r="Q92" s="220">
        <f>Q86/((1+'конкурсная документация'!$B$8)^(Q5-1))</f>
        <v>1103.3727342206225</v>
      </c>
      <c r="R92" s="220">
        <f>R86/((1+'конкурсная документация'!$B$8)^(R5-1))</f>
        <v>1087.5038237160422</v>
      </c>
      <c r="S92" s="220">
        <f>S86/((1+'конкурсная документация'!$B$8)^(S5-1))</f>
        <v>1069.863623096018</v>
      </c>
      <c r="T92" s="220">
        <f>T86/((1+'конкурсная документация'!$B$8)^(T5-1))</f>
        <v>1050.5135318619898</v>
      </c>
      <c r="U92" s="220">
        <f>U86/((1+'конкурсная документация'!$B$8)^(U5-1))</f>
        <v>1030.3347617051468</v>
      </c>
      <c r="V92" s="220">
        <f>V86/((1+'конкурсная документация'!$B$8)^(V5-1))</f>
        <v>1007.8514219048892</v>
      </c>
      <c r="W92" s="220">
        <f>W86/((1+'конкурсная документация'!$B$8)^(W5-1))</f>
        <v>984.0318240366291</v>
      </c>
      <c r="X92" s="220">
        <f>X86/((1+'конкурсная документация'!$B$8)^(X5-1))</f>
        <v>958.0601511467497</v>
      </c>
      <c r="Y92" s="220">
        <f>Y86/((1+'конкурсная документация'!$B$8)^(Y5-1))</f>
        <v>929.7344038902877</v>
      </c>
      <c r="Z92" s="220">
        <f>Z86/((1+'конкурсная документация'!$B$8)^(Z5-1))</f>
        <v>901.2591463500692</v>
      </c>
      <c r="AA92" s="220">
        <f>AA86/((1+'конкурсная документация'!$B$8)^(AA5-1))</f>
        <v>874.3286621792515</v>
      </c>
      <c r="AB92" s="220">
        <f>AB86/((1+'конкурсная документация'!$B$8)^(AB5-1))</f>
        <v>852.5331541207161</v>
      </c>
      <c r="AC92" s="220">
        <f>AC86/((1+'конкурсная документация'!$B$8)^(AC5-1))</f>
        <v>833.5701305203746</v>
      </c>
      <c r="AD92" s="220">
        <f>AD86/((1+'конкурсная документация'!$B$8)^(AD5-1))</f>
        <v>813.3531261475181</v>
      </c>
      <c r="AE92" s="220">
        <f>AE86/((1+'конкурсная документация'!$B$8)^(AE5-1))</f>
        <v>792.3862361636953</v>
      </c>
      <c r="AF92" s="220">
        <f>AF86/((1+'конкурсная документация'!$B$8)^(AF5-1))</f>
        <v>773.7367549887575</v>
      </c>
    </row>
    <row r="93" spans="1:32" s="66" customFormat="1" ht="21" customHeight="1">
      <c r="A93" s="62" t="s">
        <v>114</v>
      </c>
      <c r="B93" s="63"/>
      <c r="C93" s="141"/>
      <c r="D93" s="141"/>
      <c r="E93" s="141"/>
      <c r="F93" s="142"/>
      <c r="G93" s="142"/>
      <c r="H93" s="142"/>
      <c r="I93" s="142"/>
      <c r="J93" s="142"/>
      <c r="K93" s="141"/>
      <c r="L93" s="141"/>
      <c r="M93" s="141"/>
      <c r="N93" s="141"/>
      <c r="O93" s="141"/>
      <c r="P93" s="142"/>
      <c r="Q93" s="142"/>
      <c r="R93" s="142"/>
      <c r="S93" s="142"/>
      <c r="T93" s="142"/>
      <c r="U93" s="141"/>
      <c r="V93" s="141"/>
      <c r="W93" s="143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2" s="236" customFormat="1" ht="15">
      <c r="A94" s="177" t="s">
        <v>0</v>
      </c>
      <c r="B94" s="87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</row>
    <row r="95" spans="1:32" s="16" customFormat="1" ht="19.5" customHeight="1">
      <c r="A95" s="185" t="s">
        <v>25</v>
      </c>
      <c r="B95" s="193"/>
      <c r="C95" s="192">
        <f>'конкурсная документация'!$B$7</f>
        <v>20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9"/>
      <c r="Y95" s="199"/>
      <c r="Z95" s="199"/>
      <c r="AA95" s="199"/>
      <c r="AB95" s="199"/>
      <c r="AC95" s="199"/>
      <c r="AD95" s="199"/>
      <c r="AE95" s="199"/>
      <c r="AF95" s="199"/>
    </row>
    <row r="96" spans="1:32" s="170" customFormat="1" ht="30.75" customHeight="1">
      <c r="A96" s="182" t="s">
        <v>14</v>
      </c>
      <c r="B96" s="218"/>
      <c r="C96" s="206">
        <f>MAX('конкурсные предложения'!B30-'конкурсная документация'!C58,0)*C8</f>
        <v>1650.0000000000002</v>
      </c>
      <c r="D96" s="206">
        <f>MAX('конкурсные предложения'!C30-'конкурсная документация'!D58,0)*D8</f>
        <v>1831.5000000000005</v>
      </c>
      <c r="E96" s="206">
        <f>MAX('конкурсные предложения'!D30-'конкурсная документация'!E58,0)*E8</f>
        <v>1923.0750000000005</v>
      </c>
      <c r="F96" s="206">
        <f>MAX('конкурсные предложения'!E30-'конкурсная документация'!F58,0)*F8</f>
        <v>2057.690250000001</v>
      </c>
      <c r="G96" s="206">
        <f>MAX('конкурсные предложения'!F30-'конкурсная документация'!G58,0)*G8</f>
        <v>2201.7285675000007</v>
      </c>
      <c r="H96" s="206">
        <f>MAX('конкурсные предложения'!G30-'конкурсная документация'!H58,0)*H8</f>
        <v>2355.849567225001</v>
      </c>
      <c r="I96" s="206">
        <f>MAX('конкурсные предложения'!H30-'конкурсная документация'!I58,0)*I8</f>
        <v>2520.7590369307513</v>
      </c>
      <c r="J96" s="206">
        <f>MAX('конкурсные предложения'!I30-'конкурсная документация'!J58,0)*J8</f>
        <v>2697.2121695159044</v>
      </c>
      <c r="K96" s="206">
        <f>MAX('конкурсные предложения'!J30-'конкурсная документация'!K58,0)*K8</f>
        <v>2886.017021382018</v>
      </c>
      <c r="L96" s="206">
        <f>MAX('конкурсные предложения'!K30-'конкурсная документация'!L58,0)*L8</f>
        <v>3088.0382128787587</v>
      </c>
      <c r="M96" s="206">
        <f>MAX('конкурсные предложения'!L30-'конкурсная документация'!M58,0)*M8</f>
        <v>4405.60118370703</v>
      </c>
      <c r="N96" s="206">
        <f>MAX('конкурсные предложения'!M30-'конкурсная документация'!N58,0)*N8</f>
        <v>4713.993266566522</v>
      </c>
      <c r="O96" s="206">
        <f>MAX('конкурсные предложения'!N30-'конкурсная документация'!O58,0)*O8</f>
        <v>5043.972795226179</v>
      </c>
      <c r="P96" s="206">
        <f>MAX('конкурсные предложения'!O30-'конкурсная документация'!P58,0)*P8</f>
        <v>5397.050890892012</v>
      </c>
      <c r="Q96" s="206">
        <f>MAX('конкурсные предложения'!P30-'конкурсная документация'!Q58,0)*Q8</f>
        <v>5774.844453254454</v>
      </c>
      <c r="R96" s="206">
        <f>MAX('конкурсные предложения'!Q30-'конкурсная документация'!R58,0)*R8</f>
        <v>6179.083564982266</v>
      </c>
      <c r="S96" s="206">
        <f>MAX('конкурсные предложения'!R30-'конкурсная документация'!S58,0)*S8</f>
        <v>6611.619414531025</v>
      </c>
      <c r="T96" s="206">
        <f>MAX('конкурсные предложения'!S30-'конкурсная документация'!T58,0)*T8</f>
        <v>7074.432773548197</v>
      </c>
      <c r="U96" s="206">
        <f>MAX('конкурсные предложения'!T30-'конкурсная документация'!U58,0)*U8</f>
        <v>7569.643067696571</v>
      </c>
      <c r="V96" s="206">
        <f>MAX('конкурсные предложения'!U30-'конкурсная документация'!V58,0)*V8</f>
        <v>8099.518082435331</v>
      </c>
      <c r="W96" s="206">
        <f>MAX('конкурсные предложения'!V30-'конкурсная документация'!W58,0)*W8</f>
        <v>8666.484348205804</v>
      </c>
      <c r="X96" s="206">
        <f>MAX('конкурсные предложения'!W30-'конкурсная документация'!X58,0)*X8</f>
        <v>9273.138252580211</v>
      </c>
      <c r="Y96" s="206">
        <f>MAX('конкурсные предложения'!X30-'конкурсная документация'!Y58,0)*Y8</f>
        <v>9922.257930260825</v>
      </c>
      <c r="Z96" s="206">
        <f>MAX('конкурсные предложения'!Y30-'конкурсная документация'!Z58,0)*Z8</f>
        <v>10616.815985379084</v>
      </c>
      <c r="AA96" s="206">
        <f>MAX('конкурсные предложения'!Z30-'конкурсная документация'!AA58,0)*AA8</f>
        <v>11359.99310435562</v>
      </c>
      <c r="AB96" s="206">
        <f>MAX('конкурсные предложения'!AA30-'конкурсная документация'!AB58,0)*AB8</f>
        <v>12155.192621660515</v>
      </c>
      <c r="AC96" s="206">
        <f>MAX('конкурсные предложения'!AB30-'конкурсная документация'!AC58,0)*AC8</f>
        <v>13006.056105176753</v>
      </c>
      <c r="AD96" s="206">
        <f>MAX('конкурсные предложения'!AC30-'конкурсная документация'!AD58,0)*AD8</f>
        <v>13916.480032539124</v>
      </c>
      <c r="AE96" s="206">
        <f>MAX('конкурсные предложения'!AD30-'конкурсная документация'!AE58,0)*AE8</f>
        <v>14890.633634816864</v>
      </c>
      <c r="AF96" s="206">
        <f>MAX('конкурсные предложения'!AE30-'конкурсная документация'!AF58,0)*AF8</f>
        <v>15932.977989254046</v>
      </c>
    </row>
    <row r="97" spans="1:32" s="16" customFormat="1" ht="59.25" customHeight="1">
      <c r="A97" s="99" t="s">
        <v>134</v>
      </c>
      <c r="B97" s="191"/>
      <c r="C97" s="194">
        <f>IF('конкурсные предложения'!B30-'конкурсная документация'!C58&lt;0,"ошибка","")</f>
      </c>
      <c r="D97" s="194">
        <f>IF('конкурсные предложения'!C30-'конкурсная документация'!D58&lt;0,"ошибка","")</f>
      </c>
      <c r="E97" s="194">
        <f>IF('конкурсные предложения'!D30-'конкурсная документация'!E58&lt;0,"ошибка","")</f>
      </c>
      <c r="F97" s="194">
        <f>IF('конкурсные предложения'!E30-'конкурсная документация'!F58&lt;0,"ошибка","")</f>
      </c>
      <c r="G97" s="194">
        <f>IF('конкурсные предложения'!F30-'конкурсная документация'!G58&lt;0,"ошибка","")</f>
      </c>
      <c r="H97" s="194">
        <f>IF('конкурсные предложения'!G30-'конкурсная документация'!H58&lt;0,"ошибка","")</f>
      </c>
      <c r="I97" s="194">
        <f>IF('конкурсные предложения'!H30-'конкурсная документация'!I58&lt;0,"ошибка","")</f>
      </c>
      <c r="J97" s="194">
        <f>IF('конкурсные предложения'!I30-'конкурсная документация'!J58&lt;0,"ошибка","")</f>
      </c>
      <c r="K97" s="194">
        <f>IF('конкурсные предложения'!J30-'конкурсная документация'!K58&lt;0,"ошибка","")</f>
      </c>
      <c r="L97" s="194">
        <f>IF('конкурсные предложения'!K30-'конкурсная документация'!L58&lt;0,"ошибка","")</f>
      </c>
      <c r="M97" s="194">
        <f>IF('конкурсные предложения'!L30-'конкурсная документация'!M58&lt;0,"ошибка","")</f>
      </c>
      <c r="N97" s="194">
        <f>IF('конкурсные предложения'!M30-'конкурсная документация'!N58&lt;0,"ошибка","")</f>
      </c>
      <c r="O97" s="194">
        <f>IF('конкурсные предложения'!N30-'конкурсная документация'!O58&lt;0,"ошибка","")</f>
      </c>
      <c r="P97" s="194">
        <f>IF('конкурсные предложения'!O30-'конкурсная документация'!P58&lt;0,"ошибка","")</f>
      </c>
      <c r="Q97" s="194">
        <f>IF('конкурсные предложения'!P30-'конкурсная документация'!Q58&lt;0,"ошибка","")</f>
      </c>
      <c r="R97" s="194">
        <f>IF('конкурсные предложения'!Q30-'конкурсная документация'!R58&lt;0,"ошибка","")</f>
      </c>
      <c r="S97" s="194">
        <f>IF('конкурсные предложения'!R30-'конкурсная документация'!S58&lt;0,"ошибка","")</f>
      </c>
      <c r="T97" s="194">
        <f>IF('конкурсные предложения'!S30-'конкурсная документация'!T58&lt;0,"ошибка","")</f>
      </c>
      <c r="U97" s="194">
        <f>IF('конкурсные предложения'!T30-'конкурсная документация'!U58&lt;0,"ошибка","")</f>
      </c>
      <c r="V97" s="194">
        <f>IF('конкурсные предложения'!U30-'конкурсная документация'!V58&lt;0,"ошибка","")</f>
      </c>
      <c r="W97" s="194">
        <f>IF('конкурсные предложения'!V30-'конкурсная документация'!W58&lt;0,"ошибка","")</f>
      </c>
      <c r="X97" s="194">
        <f>IF('конкурсные предложения'!W30-'конкурсная документация'!X58&lt;0,"ошибка","")</f>
      </c>
      <c r="Y97" s="194">
        <f>IF('конкурсные предложения'!X30-'конкурсная документация'!Y58&lt;0,"ошибка","")</f>
      </c>
      <c r="Z97" s="194">
        <f>IF('конкурсные предложения'!Y30-'конкурсная документация'!Z58&lt;0,"ошибка","")</f>
      </c>
      <c r="AA97" s="194">
        <f>IF('конкурсные предложения'!Z30-'конкурсная документация'!AA58&lt;0,"ошибка","")</f>
      </c>
      <c r="AB97" s="194">
        <f>IF('конкурсные предложения'!AA30-'конкурсная документация'!AB58&lt;0,"ошибка","")</f>
      </c>
      <c r="AC97" s="194">
        <f>IF('конкурсные предложения'!AB30-'конкурсная документация'!AC58&lt;0,"ошибка","")</f>
      </c>
      <c r="AD97" s="194">
        <f>IF('конкурсные предложения'!AC30-'конкурсная документация'!AD58&lt;0,"ошибка","")</f>
      </c>
      <c r="AE97" s="194">
        <f>IF('конкурсные предложения'!AD30-'конкурсная документация'!AE58&lt;0,"ошибка","")</f>
      </c>
      <c r="AF97" s="194">
        <f>IF('конкурсные предложения'!AE30-'конкурсная документация'!AF58&lt;0,"ошибка","")</f>
      </c>
    </row>
    <row r="98" spans="1:32" s="16" customFormat="1" ht="60">
      <c r="A98" s="99" t="s">
        <v>35</v>
      </c>
      <c r="B98" s="193"/>
      <c r="C98" s="194">
        <f>'конкурсная документация'!C46</f>
        <v>0</v>
      </c>
      <c r="D98" s="195">
        <f aca="true" t="shared" si="51" ref="D98:W98">C99</f>
        <v>0</v>
      </c>
      <c r="E98" s="195">
        <f t="shared" si="51"/>
        <v>0</v>
      </c>
      <c r="F98" s="195">
        <f t="shared" si="51"/>
        <v>0</v>
      </c>
      <c r="G98" s="195">
        <f t="shared" si="51"/>
        <v>0</v>
      </c>
      <c r="H98" s="195">
        <f t="shared" si="51"/>
        <v>0</v>
      </c>
      <c r="I98" s="195">
        <f t="shared" si="51"/>
        <v>0</v>
      </c>
      <c r="J98" s="195">
        <f t="shared" si="51"/>
        <v>0</v>
      </c>
      <c r="K98" s="195">
        <f t="shared" si="51"/>
        <v>0</v>
      </c>
      <c r="L98" s="195">
        <f t="shared" si="51"/>
        <v>0</v>
      </c>
      <c r="M98" s="195">
        <f t="shared" si="51"/>
        <v>0</v>
      </c>
      <c r="N98" s="195">
        <f t="shared" si="51"/>
        <v>0</v>
      </c>
      <c r="O98" s="195">
        <f t="shared" si="51"/>
        <v>0</v>
      </c>
      <c r="P98" s="195">
        <f t="shared" si="51"/>
        <v>0</v>
      </c>
      <c r="Q98" s="195">
        <f t="shared" si="51"/>
        <v>0</v>
      </c>
      <c r="R98" s="195">
        <f t="shared" si="51"/>
        <v>0</v>
      </c>
      <c r="S98" s="195">
        <f t="shared" si="51"/>
        <v>0</v>
      </c>
      <c r="T98" s="195">
        <f t="shared" si="51"/>
        <v>0</v>
      </c>
      <c r="U98" s="195">
        <f t="shared" si="51"/>
        <v>0</v>
      </c>
      <c r="V98" s="195">
        <f t="shared" si="51"/>
        <v>0</v>
      </c>
      <c r="W98" s="195">
        <f t="shared" si="51"/>
        <v>0</v>
      </c>
      <c r="X98" s="195">
        <f aca="true" t="shared" si="52" ref="X98:AF98">W99</f>
        <v>0</v>
      </c>
      <c r="Y98" s="195">
        <f t="shared" si="52"/>
        <v>0</v>
      </c>
      <c r="Z98" s="195">
        <f t="shared" si="52"/>
        <v>0</v>
      </c>
      <c r="AA98" s="195">
        <f t="shared" si="52"/>
        <v>0</v>
      </c>
      <c r="AB98" s="195">
        <f t="shared" si="52"/>
        <v>0</v>
      </c>
      <c r="AC98" s="195">
        <f t="shared" si="52"/>
        <v>0</v>
      </c>
      <c r="AD98" s="195">
        <f t="shared" si="52"/>
        <v>0</v>
      </c>
      <c r="AE98" s="195">
        <f t="shared" si="52"/>
        <v>0</v>
      </c>
      <c r="AF98" s="195">
        <f t="shared" si="52"/>
        <v>0</v>
      </c>
    </row>
    <row r="99" spans="1:32" s="16" customFormat="1" ht="60">
      <c r="A99" s="99" t="s">
        <v>37</v>
      </c>
      <c r="B99" s="193"/>
      <c r="C99" s="195">
        <f>IF(C98-C100&gt;0,C98-C100,0)</f>
        <v>0</v>
      </c>
      <c r="D99" s="195">
        <f aca="true" t="shared" si="53" ref="D99:V99">IF(C99-D100&gt;0,C99-D100,0)</f>
        <v>0</v>
      </c>
      <c r="E99" s="195">
        <f t="shared" si="53"/>
        <v>0</v>
      </c>
      <c r="F99" s="195">
        <f t="shared" si="53"/>
        <v>0</v>
      </c>
      <c r="G99" s="195">
        <f t="shared" si="53"/>
        <v>0</v>
      </c>
      <c r="H99" s="195">
        <f t="shared" si="53"/>
        <v>0</v>
      </c>
      <c r="I99" s="195">
        <f t="shared" si="53"/>
        <v>0</v>
      </c>
      <c r="J99" s="195">
        <f t="shared" si="53"/>
        <v>0</v>
      </c>
      <c r="K99" s="195">
        <f t="shared" si="53"/>
        <v>0</v>
      </c>
      <c r="L99" s="195">
        <f t="shared" si="53"/>
        <v>0</v>
      </c>
      <c r="M99" s="195">
        <f t="shared" si="53"/>
        <v>0</v>
      </c>
      <c r="N99" s="195">
        <f t="shared" si="53"/>
        <v>0</v>
      </c>
      <c r="O99" s="195">
        <f t="shared" si="53"/>
        <v>0</v>
      </c>
      <c r="P99" s="195">
        <f t="shared" si="53"/>
        <v>0</v>
      </c>
      <c r="Q99" s="195">
        <f t="shared" si="53"/>
        <v>0</v>
      </c>
      <c r="R99" s="195">
        <f t="shared" si="53"/>
        <v>0</v>
      </c>
      <c r="S99" s="195">
        <f t="shared" si="53"/>
        <v>0</v>
      </c>
      <c r="T99" s="195">
        <f t="shared" si="53"/>
        <v>0</v>
      </c>
      <c r="U99" s="195">
        <f t="shared" si="53"/>
        <v>0</v>
      </c>
      <c r="V99" s="195">
        <f t="shared" si="53"/>
        <v>0</v>
      </c>
      <c r="W99" s="195">
        <f aca="true" t="shared" si="54" ref="W99:AF99">IF(W98-W100&gt;0,W98-W100,0)</f>
        <v>0</v>
      </c>
      <c r="X99" s="195">
        <f t="shared" si="54"/>
        <v>0</v>
      </c>
      <c r="Y99" s="195">
        <f t="shared" si="54"/>
        <v>0</v>
      </c>
      <c r="Z99" s="195">
        <f t="shared" si="54"/>
        <v>0</v>
      </c>
      <c r="AA99" s="195">
        <f t="shared" si="54"/>
        <v>0</v>
      </c>
      <c r="AB99" s="195">
        <f t="shared" si="54"/>
        <v>0</v>
      </c>
      <c r="AC99" s="195">
        <f t="shared" si="54"/>
        <v>0</v>
      </c>
      <c r="AD99" s="195">
        <f t="shared" si="54"/>
        <v>0</v>
      </c>
      <c r="AE99" s="195">
        <f t="shared" si="54"/>
        <v>0</v>
      </c>
      <c r="AF99" s="195">
        <f t="shared" si="54"/>
        <v>0</v>
      </c>
    </row>
    <row r="100" spans="1:32" s="16" customFormat="1" ht="45.75" customHeight="1">
      <c r="A100" s="196" t="s">
        <v>38</v>
      </c>
      <c r="B100" s="193"/>
      <c r="C100" s="195">
        <f aca="true" t="shared" si="55" ref="C100:AF100">IF($C98/$C$95*C$5&gt;$C98,0,$C98/$C$95)</f>
        <v>0</v>
      </c>
      <c r="D100" s="195">
        <f t="shared" si="55"/>
        <v>0</v>
      </c>
      <c r="E100" s="195">
        <f t="shared" si="55"/>
        <v>0</v>
      </c>
      <c r="F100" s="195">
        <f t="shared" si="55"/>
        <v>0</v>
      </c>
      <c r="G100" s="195">
        <f t="shared" si="55"/>
        <v>0</v>
      </c>
      <c r="H100" s="195">
        <f t="shared" si="55"/>
        <v>0</v>
      </c>
      <c r="I100" s="195">
        <f t="shared" si="55"/>
        <v>0</v>
      </c>
      <c r="J100" s="195">
        <f t="shared" si="55"/>
        <v>0</v>
      </c>
      <c r="K100" s="195">
        <f t="shared" si="55"/>
        <v>0</v>
      </c>
      <c r="L100" s="195">
        <f t="shared" si="55"/>
        <v>0</v>
      </c>
      <c r="M100" s="195">
        <f t="shared" si="55"/>
        <v>0</v>
      </c>
      <c r="N100" s="195">
        <f t="shared" si="55"/>
        <v>0</v>
      </c>
      <c r="O100" s="195">
        <f t="shared" si="55"/>
        <v>0</v>
      </c>
      <c r="P100" s="195">
        <f t="shared" si="55"/>
        <v>0</v>
      </c>
      <c r="Q100" s="195">
        <f t="shared" si="55"/>
        <v>0</v>
      </c>
      <c r="R100" s="195">
        <f t="shared" si="55"/>
        <v>0</v>
      </c>
      <c r="S100" s="195">
        <f t="shared" si="55"/>
        <v>0</v>
      </c>
      <c r="T100" s="195">
        <f t="shared" si="55"/>
        <v>0</v>
      </c>
      <c r="U100" s="195">
        <f t="shared" si="55"/>
        <v>0</v>
      </c>
      <c r="V100" s="195">
        <f t="shared" si="55"/>
        <v>0</v>
      </c>
      <c r="W100" s="195">
        <f t="shared" si="55"/>
        <v>0</v>
      </c>
      <c r="X100" s="195">
        <f t="shared" si="55"/>
        <v>0</v>
      </c>
      <c r="Y100" s="195">
        <f t="shared" si="55"/>
        <v>0</v>
      </c>
      <c r="Z100" s="195">
        <f t="shared" si="55"/>
        <v>0</v>
      </c>
      <c r="AA100" s="195">
        <f t="shared" si="55"/>
        <v>0</v>
      </c>
      <c r="AB100" s="195">
        <f t="shared" si="55"/>
        <v>0</v>
      </c>
      <c r="AC100" s="195">
        <f t="shared" si="55"/>
        <v>0</v>
      </c>
      <c r="AD100" s="195">
        <f t="shared" si="55"/>
        <v>0</v>
      </c>
      <c r="AE100" s="195">
        <f t="shared" si="55"/>
        <v>0</v>
      </c>
      <c r="AF100" s="195">
        <f t="shared" si="55"/>
        <v>0</v>
      </c>
    </row>
    <row r="101" spans="1:32" s="16" customFormat="1" ht="30">
      <c r="A101" s="99" t="s">
        <v>1</v>
      </c>
      <c r="B101" s="193"/>
      <c r="C101" s="195">
        <v>0</v>
      </c>
      <c r="D101" s="195">
        <f aca="true" t="shared" si="56" ref="D101:AF101">C102</f>
        <v>1650.0000000000002</v>
      </c>
      <c r="E101" s="195">
        <f t="shared" si="56"/>
        <v>3399.000000000001</v>
      </c>
      <c r="F101" s="195">
        <f t="shared" si="56"/>
        <v>5148.000000000002</v>
      </c>
      <c r="G101" s="195">
        <f t="shared" si="56"/>
        <v>6935.461500000003</v>
      </c>
      <c r="H101" s="195">
        <f t="shared" si="56"/>
        <v>8764.076805000002</v>
      </c>
      <c r="I101" s="195">
        <f t="shared" si="56"/>
        <v>10636.726681350003</v>
      </c>
      <c r="J101" s="195">
        <f t="shared" si="56"/>
        <v>12556.493549044504</v>
      </c>
      <c r="K101" s="195">
        <f t="shared" si="56"/>
        <v>14526.67559747762</v>
      </c>
      <c r="L101" s="195">
        <f t="shared" si="56"/>
        <v>16550.801889301056</v>
      </c>
      <c r="M101" s="195">
        <f t="shared" si="56"/>
        <v>18632.648521552128</v>
      </c>
      <c r="N101" s="195">
        <f t="shared" si="56"/>
        <v>21877.656213987535</v>
      </c>
      <c r="O101" s="195">
        <f t="shared" si="56"/>
        <v>25210.775930097083</v>
      </c>
      <c r="P101" s="195">
        <f t="shared" si="56"/>
        <v>28638.17551153796</v>
      </c>
      <c r="Q101" s="195">
        <f t="shared" si="56"/>
        <v>32166.454548883365</v>
      </c>
      <c r="R101" s="195">
        <f t="shared" si="56"/>
        <v>35802.67460404661</v>
      </c>
      <c r="S101" s="195">
        <f t="shared" si="56"/>
        <v>39554.39154827494</v>
      </c>
      <c r="T101" s="195">
        <f t="shared" si="56"/>
        <v>43429.69016380292</v>
      </c>
      <c r="U101" s="195">
        <f t="shared" si="56"/>
        <v>47437.22116762152</v>
      </c>
      <c r="V101" s="195">
        <f t="shared" si="56"/>
        <v>51586.24082691108</v>
      </c>
      <c r="W101" s="195">
        <f t="shared" si="56"/>
        <v>55886.65334755458</v>
      </c>
      <c r="X101" s="195">
        <f t="shared" si="56"/>
        <v>60349.056229846785</v>
      </c>
      <c r="Y101" s="195">
        <f t="shared" si="56"/>
        <v>65067.28879910311</v>
      </c>
      <c r="Z101" s="195">
        <f t="shared" si="56"/>
        <v>70062.55913341104</v>
      </c>
      <c r="AA101" s="195">
        <f t="shared" si="56"/>
        <v>75352.42837632418</v>
      </c>
      <c r="AB101" s="195">
        <f t="shared" si="56"/>
        <v>80957.5184514449</v>
      </c>
      <c r="AC101" s="195">
        <f t="shared" si="56"/>
        <v>86899.89481702774</v>
      </c>
      <c r="AD101" s="195">
        <f t="shared" si="56"/>
        <v>93203.16751340505</v>
      </c>
      <c r="AE101" s="195">
        <f t="shared" si="56"/>
        <v>99892.59928373242</v>
      </c>
      <c r="AF101" s="195">
        <f t="shared" si="56"/>
        <v>106995.22126318637</v>
      </c>
    </row>
    <row r="102" spans="1:32" s="16" customFormat="1" ht="30">
      <c r="A102" s="99" t="s">
        <v>2</v>
      </c>
      <c r="B102" s="193"/>
      <c r="C102" s="195">
        <f aca="true" t="shared" si="57" ref="C102:AF102">C101+C96-C132</f>
        <v>1650.0000000000002</v>
      </c>
      <c r="D102" s="195">
        <f t="shared" si="57"/>
        <v>3399.000000000001</v>
      </c>
      <c r="E102" s="195">
        <f t="shared" si="57"/>
        <v>5148.000000000002</v>
      </c>
      <c r="F102" s="195">
        <f t="shared" si="57"/>
        <v>6935.461500000003</v>
      </c>
      <c r="G102" s="195">
        <f t="shared" si="57"/>
        <v>8764.076805000002</v>
      </c>
      <c r="H102" s="195">
        <f t="shared" si="57"/>
        <v>10636.726681350003</v>
      </c>
      <c r="I102" s="195">
        <f t="shared" si="57"/>
        <v>12556.493549044504</v>
      </c>
      <c r="J102" s="195">
        <f t="shared" si="57"/>
        <v>14526.67559747762</v>
      </c>
      <c r="K102" s="195">
        <f t="shared" si="57"/>
        <v>16550.801889301056</v>
      </c>
      <c r="L102" s="195">
        <f t="shared" si="57"/>
        <v>18632.648521552128</v>
      </c>
      <c r="M102" s="195">
        <f t="shared" si="57"/>
        <v>21877.656213987535</v>
      </c>
      <c r="N102" s="195">
        <f t="shared" si="57"/>
        <v>25210.775930097083</v>
      </c>
      <c r="O102" s="195">
        <f t="shared" si="57"/>
        <v>28638.17551153796</v>
      </c>
      <c r="P102" s="195">
        <f t="shared" si="57"/>
        <v>32166.454548883365</v>
      </c>
      <c r="Q102" s="195">
        <f t="shared" si="57"/>
        <v>35802.67460404661</v>
      </c>
      <c r="R102" s="195">
        <f t="shared" si="57"/>
        <v>39554.39154827494</v>
      </c>
      <c r="S102" s="195">
        <f t="shared" si="57"/>
        <v>43429.69016380292</v>
      </c>
      <c r="T102" s="195">
        <f t="shared" si="57"/>
        <v>47437.22116762152</v>
      </c>
      <c r="U102" s="195">
        <f t="shared" si="57"/>
        <v>51586.24082691108</v>
      </c>
      <c r="V102" s="195">
        <f t="shared" si="57"/>
        <v>55886.65334755458</v>
      </c>
      <c r="W102" s="195">
        <f t="shared" si="57"/>
        <v>60349.056229846785</v>
      </c>
      <c r="X102" s="195">
        <f t="shared" si="57"/>
        <v>65067.28879910311</v>
      </c>
      <c r="Y102" s="195">
        <f t="shared" si="57"/>
        <v>70062.55913341104</v>
      </c>
      <c r="Z102" s="195">
        <f t="shared" si="57"/>
        <v>75352.42837632418</v>
      </c>
      <c r="AA102" s="195">
        <f t="shared" si="57"/>
        <v>80957.5184514449</v>
      </c>
      <c r="AB102" s="195">
        <f t="shared" si="57"/>
        <v>86899.89481702774</v>
      </c>
      <c r="AC102" s="195">
        <f t="shared" si="57"/>
        <v>93203.16751340505</v>
      </c>
      <c r="AD102" s="195">
        <f t="shared" si="57"/>
        <v>99892.59928373242</v>
      </c>
      <c r="AE102" s="195">
        <f t="shared" si="57"/>
        <v>106995.22126318637</v>
      </c>
      <c r="AF102" s="195">
        <f t="shared" si="57"/>
        <v>114539.95676640575</v>
      </c>
    </row>
    <row r="103" spans="1:32" s="16" customFormat="1" ht="15">
      <c r="A103" s="197" t="s">
        <v>158</v>
      </c>
      <c r="B103" s="180"/>
      <c r="C103" s="198"/>
      <c r="D103" s="198">
        <f aca="true" t="shared" si="58" ref="D103:AF103">IF($C$96/$C$95*(D$5-$C$5)&gt;$C$96,0,$C$96/$C$95)</f>
        <v>82.50000000000001</v>
      </c>
      <c r="E103" s="198">
        <f t="shared" si="58"/>
        <v>82.50000000000001</v>
      </c>
      <c r="F103" s="198">
        <f t="shared" si="58"/>
        <v>82.50000000000001</v>
      </c>
      <c r="G103" s="198">
        <f t="shared" si="58"/>
        <v>82.50000000000001</v>
      </c>
      <c r="H103" s="198">
        <f t="shared" si="58"/>
        <v>82.50000000000001</v>
      </c>
      <c r="I103" s="198">
        <f t="shared" si="58"/>
        <v>82.50000000000001</v>
      </c>
      <c r="J103" s="198">
        <f t="shared" si="58"/>
        <v>82.50000000000001</v>
      </c>
      <c r="K103" s="198">
        <f t="shared" si="58"/>
        <v>82.50000000000001</v>
      </c>
      <c r="L103" s="198">
        <f t="shared" si="58"/>
        <v>82.50000000000001</v>
      </c>
      <c r="M103" s="198">
        <f t="shared" si="58"/>
        <v>82.50000000000001</v>
      </c>
      <c r="N103" s="198">
        <f t="shared" si="58"/>
        <v>82.50000000000001</v>
      </c>
      <c r="O103" s="198">
        <f t="shared" si="58"/>
        <v>82.50000000000001</v>
      </c>
      <c r="P103" s="198">
        <f t="shared" si="58"/>
        <v>82.50000000000001</v>
      </c>
      <c r="Q103" s="198">
        <f t="shared" si="58"/>
        <v>82.50000000000001</v>
      </c>
      <c r="R103" s="198">
        <f t="shared" si="58"/>
        <v>82.50000000000001</v>
      </c>
      <c r="S103" s="198">
        <f t="shared" si="58"/>
        <v>82.50000000000001</v>
      </c>
      <c r="T103" s="198">
        <f t="shared" si="58"/>
        <v>82.50000000000001</v>
      </c>
      <c r="U103" s="198">
        <f t="shared" si="58"/>
        <v>82.50000000000001</v>
      </c>
      <c r="V103" s="198">
        <f t="shared" si="58"/>
        <v>82.50000000000001</v>
      </c>
      <c r="W103" s="198">
        <f t="shared" si="58"/>
        <v>82.50000000000001</v>
      </c>
      <c r="X103" s="198">
        <f t="shared" si="58"/>
        <v>0</v>
      </c>
      <c r="Y103" s="198">
        <f t="shared" si="58"/>
        <v>0</v>
      </c>
      <c r="Z103" s="198">
        <f t="shared" si="58"/>
        <v>0</v>
      </c>
      <c r="AA103" s="198">
        <f t="shared" si="58"/>
        <v>0</v>
      </c>
      <c r="AB103" s="198">
        <f t="shared" si="58"/>
        <v>0</v>
      </c>
      <c r="AC103" s="198">
        <f t="shared" si="58"/>
        <v>0</v>
      </c>
      <c r="AD103" s="198">
        <f t="shared" si="58"/>
        <v>0</v>
      </c>
      <c r="AE103" s="198">
        <f t="shared" si="58"/>
        <v>0</v>
      </c>
      <c r="AF103" s="198">
        <f t="shared" si="58"/>
        <v>0</v>
      </c>
    </row>
    <row r="104" spans="1:32" s="16" customFormat="1" ht="15">
      <c r="A104" s="197" t="s">
        <v>159</v>
      </c>
      <c r="B104" s="180"/>
      <c r="C104" s="198"/>
      <c r="D104" s="199"/>
      <c r="E104" s="198">
        <f aca="true" t="shared" si="59" ref="E104:AF104">IF($D$96/$C$95*(E$5-$D$5)&gt;$D$96,0,$D$96/$C$95)</f>
        <v>91.57500000000002</v>
      </c>
      <c r="F104" s="198">
        <f t="shared" si="59"/>
        <v>91.57500000000002</v>
      </c>
      <c r="G104" s="198">
        <f t="shared" si="59"/>
        <v>91.57500000000002</v>
      </c>
      <c r="H104" s="198">
        <f t="shared" si="59"/>
        <v>91.57500000000002</v>
      </c>
      <c r="I104" s="198">
        <f t="shared" si="59"/>
        <v>91.57500000000002</v>
      </c>
      <c r="J104" s="198">
        <f t="shared" si="59"/>
        <v>91.57500000000002</v>
      </c>
      <c r="K104" s="198">
        <f t="shared" si="59"/>
        <v>91.57500000000002</v>
      </c>
      <c r="L104" s="198">
        <f t="shared" si="59"/>
        <v>91.57500000000002</v>
      </c>
      <c r="M104" s="198">
        <f t="shared" si="59"/>
        <v>91.57500000000002</v>
      </c>
      <c r="N104" s="198">
        <f t="shared" si="59"/>
        <v>91.57500000000002</v>
      </c>
      <c r="O104" s="198">
        <f t="shared" si="59"/>
        <v>91.57500000000002</v>
      </c>
      <c r="P104" s="198">
        <f t="shared" si="59"/>
        <v>91.57500000000002</v>
      </c>
      <c r="Q104" s="198">
        <f t="shared" si="59"/>
        <v>91.57500000000002</v>
      </c>
      <c r="R104" s="198">
        <f t="shared" si="59"/>
        <v>91.57500000000002</v>
      </c>
      <c r="S104" s="198">
        <f t="shared" si="59"/>
        <v>91.57500000000002</v>
      </c>
      <c r="T104" s="198">
        <f t="shared" si="59"/>
        <v>91.57500000000002</v>
      </c>
      <c r="U104" s="198">
        <f t="shared" si="59"/>
        <v>91.57500000000002</v>
      </c>
      <c r="V104" s="198">
        <f t="shared" si="59"/>
        <v>91.57500000000002</v>
      </c>
      <c r="W104" s="198">
        <f t="shared" si="59"/>
        <v>91.57500000000002</v>
      </c>
      <c r="X104" s="198">
        <f t="shared" si="59"/>
        <v>91.57500000000002</v>
      </c>
      <c r="Y104" s="198">
        <f t="shared" si="59"/>
        <v>0</v>
      </c>
      <c r="Z104" s="198">
        <f t="shared" si="59"/>
        <v>0</v>
      </c>
      <c r="AA104" s="198">
        <f t="shared" si="59"/>
        <v>0</v>
      </c>
      <c r="AB104" s="198">
        <f t="shared" si="59"/>
        <v>0</v>
      </c>
      <c r="AC104" s="198">
        <f t="shared" si="59"/>
        <v>0</v>
      </c>
      <c r="AD104" s="198">
        <f t="shared" si="59"/>
        <v>0</v>
      </c>
      <c r="AE104" s="198">
        <f t="shared" si="59"/>
        <v>0</v>
      </c>
      <c r="AF104" s="198">
        <f t="shared" si="59"/>
        <v>0</v>
      </c>
    </row>
    <row r="105" spans="1:32" s="16" customFormat="1" ht="15">
      <c r="A105" s="197" t="s">
        <v>160</v>
      </c>
      <c r="B105" s="180"/>
      <c r="C105" s="198"/>
      <c r="D105" s="198"/>
      <c r="E105" s="198"/>
      <c r="F105" s="198">
        <f aca="true" t="shared" si="60" ref="F105:AF105">IF($E$96/$C$95*(F$5-$E$5)&gt;$E$96,0,$E$96/$C$95)</f>
        <v>96.15375000000003</v>
      </c>
      <c r="G105" s="198">
        <f t="shared" si="60"/>
        <v>96.15375000000003</v>
      </c>
      <c r="H105" s="198">
        <f t="shared" si="60"/>
        <v>96.15375000000003</v>
      </c>
      <c r="I105" s="198">
        <f t="shared" si="60"/>
        <v>96.15375000000003</v>
      </c>
      <c r="J105" s="198">
        <f t="shared" si="60"/>
        <v>96.15375000000003</v>
      </c>
      <c r="K105" s="198">
        <f t="shared" si="60"/>
        <v>96.15375000000003</v>
      </c>
      <c r="L105" s="198">
        <f t="shared" si="60"/>
        <v>96.15375000000003</v>
      </c>
      <c r="M105" s="198">
        <f t="shared" si="60"/>
        <v>96.15375000000003</v>
      </c>
      <c r="N105" s="198">
        <f t="shared" si="60"/>
        <v>96.15375000000003</v>
      </c>
      <c r="O105" s="198">
        <f t="shared" si="60"/>
        <v>96.15375000000003</v>
      </c>
      <c r="P105" s="198">
        <f t="shared" si="60"/>
        <v>96.15375000000003</v>
      </c>
      <c r="Q105" s="198">
        <f t="shared" si="60"/>
        <v>96.15375000000003</v>
      </c>
      <c r="R105" s="198">
        <f t="shared" si="60"/>
        <v>96.15375000000003</v>
      </c>
      <c r="S105" s="198">
        <f t="shared" si="60"/>
        <v>96.15375000000003</v>
      </c>
      <c r="T105" s="198">
        <f t="shared" si="60"/>
        <v>96.15375000000003</v>
      </c>
      <c r="U105" s="198">
        <f t="shared" si="60"/>
        <v>96.15375000000003</v>
      </c>
      <c r="V105" s="198">
        <f t="shared" si="60"/>
        <v>96.15375000000003</v>
      </c>
      <c r="W105" s="198">
        <f t="shared" si="60"/>
        <v>96.15375000000003</v>
      </c>
      <c r="X105" s="198">
        <f t="shared" si="60"/>
        <v>96.15375000000003</v>
      </c>
      <c r="Y105" s="198">
        <f t="shared" si="60"/>
        <v>96.15375000000003</v>
      </c>
      <c r="Z105" s="198">
        <f t="shared" si="60"/>
        <v>0</v>
      </c>
      <c r="AA105" s="198">
        <f t="shared" si="60"/>
        <v>0</v>
      </c>
      <c r="AB105" s="198">
        <f t="shared" si="60"/>
        <v>0</v>
      </c>
      <c r="AC105" s="198">
        <f t="shared" si="60"/>
        <v>0</v>
      </c>
      <c r="AD105" s="198">
        <f t="shared" si="60"/>
        <v>0</v>
      </c>
      <c r="AE105" s="198">
        <f t="shared" si="60"/>
        <v>0</v>
      </c>
      <c r="AF105" s="198">
        <f t="shared" si="60"/>
        <v>0</v>
      </c>
    </row>
    <row r="106" spans="1:32" s="16" customFormat="1" ht="15">
      <c r="A106" s="197" t="s">
        <v>161</v>
      </c>
      <c r="B106" s="180"/>
      <c r="C106" s="198"/>
      <c r="D106" s="198"/>
      <c r="E106" s="198"/>
      <c r="F106" s="198"/>
      <c r="G106" s="198">
        <f aca="true" t="shared" si="61" ref="G106:AF106">IF($F$96/$C$95*(G$5-$F$5)&gt;$F$96,0,$F$96/$C$95)</f>
        <v>102.88451250000006</v>
      </c>
      <c r="H106" s="198">
        <f t="shared" si="61"/>
        <v>102.88451250000006</v>
      </c>
      <c r="I106" s="198">
        <f t="shared" si="61"/>
        <v>102.88451250000006</v>
      </c>
      <c r="J106" s="198">
        <f t="shared" si="61"/>
        <v>102.88451250000006</v>
      </c>
      <c r="K106" s="198">
        <f t="shared" si="61"/>
        <v>102.88451250000006</v>
      </c>
      <c r="L106" s="198">
        <f t="shared" si="61"/>
        <v>102.88451250000006</v>
      </c>
      <c r="M106" s="198">
        <f t="shared" si="61"/>
        <v>102.88451250000006</v>
      </c>
      <c r="N106" s="198">
        <f t="shared" si="61"/>
        <v>102.88451250000006</v>
      </c>
      <c r="O106" s="198">
        <f t="shared" si="61"/>
        <v>102.88451250000006</v>
      </c>
      <c r="P106" s="198">
        <f t="shared" si="61"/>
        <v>102.88451250000006</v>
      </c>
      <c r="Q106" s="198">
        <f t="shared" si="61"/>
        <v>102.88451250000006</v>
      </c>
      <c r="R106" s="198">
        <f t="shared" si="61"/>
        <v>102.88451250000006</v>
      </c>
      <c r="S106" s="198">
        <f t="shared" si="61"/>
        <v>102.88451250000006</v>
      </c>
      <c r="T106" s="198">
        <f t="shared" si="61"/>
        <v>102.88451250000006</v>
      </c>
      <c r="U106" s="198">
        <f t="shared" si="61"/>
        <v>102.88451250000006</v>
      </c>
      <c r="V106" s="198">
        <f t="shared" si="61"/>
        <v>102.88451250000006</v>
      </c>
      <c r="W106" s="198">
        <f t="shared" si="61"/>
        <v>102.88451250000006</v>
      </c>
      <c r="X106" s="198">
        <f t="shared" si="61"/>
        <v>102.88451250000006</v>
      </c>
      <c r="Y106" s="198">
        <f t="shared" si="61"/>
        <v>102.88451250000006</v>
      </c>
      <c r="Z106" s="198">
        <f t="shared" si="61"/>
        <v>102.88451250000006</v>
      </c>
      <c r="AA106" s="198">
        <f t="shared" si="61"/>
        <v>0</v>
      </c>
      <c r="AB106" s="198">
        <f t="shared" si="61"/>
        <v>0</v>
      </c>
      <c r="AC106" s="198">
        <f t="shared" si="61"/>
        <v>0</v>
      </c>
      <c r="AD106" s="198">
        <f t="shared" si="61"/>
        <v>0</v>
      </c>
      <c r="AE106" s="198">
        <f t="shared" si="61"/>
        <v>0</v>
      </c>
      <c r="AF106" s="198">
        <f t="shared" si="61"/>
        <v>0</v>
      </c>
    </row>
    <row r="107" spans="1:32" s="16" customFormat="1" ht="15">
      <c r="A107" s="197" t="s">
        <v>162</v>
      </c>
      <c r="B107" s="180"/>
      <c r="C107" s="198"/>
      <c r="D107" s="198"/>
      <c r="E107" s="198"/>
      <c r="F107" s="198"/>
      <c r="G107" s="198"/>
      <c r="H107" s="198">
        <f aca="true" t="shared" si="62" ref="H107:AF107">IF($G$96/$C$95*(H$5-$G$5)&gt;$G$96,0,$G$96/$C$95)</f>
        <v>110.08642837500004</v>
      </c>
      <c r="I107" s="198">
        <f t="shared" si="62"/>
        <v>110.08642837500004</v>
      </c>
      <c r="J107" s="198">
        <f t="shared" si="62"/>
        <v>110.08642837500004</v>
      </c>
      <c r="K107" s="198">
        <f t="shared" si="62"/>
        <v>110.08642837500004</v>
      </c>
      <c r="L107" s="198">
        <f t="shared" si="62"/>
        <v>110.08642837500004</v>
      </c>
      <c r="M107" s="198">
        <f t="shared" si="62"/>
        <v>110.08642837500004</v>
      </c>
      <c r="N107" s="198">
        <f t="shared" si="62"/>
        <v>110.08642837500004</v>
      </c>
      <c r="O107" s="198">
        <f t="shared" si="62"/>
        <v>110.08642837500004</v>
      </c>
      <c r="P107" s="198">
        <f t="shared" si="62"/>
        <v>110.08642837500004</v>
      </c>
      <c r="Q107" s="198">
        <f t="shared" si="62"/>
        <v>110.08642837500004</v>
      </c>
      <c r="R107" s="198">
        <f t="shared" si="62"/>
        <v>110.08642837500004</v>
      </c>
      <c r="S107" s="198">
        <f t="shared" si="62"/>
        <v>110.08642837500004</v>
      </c>
      <c r="T107" s="198">
        <f t="shared" si="62"/>
        <v>110.08642837500004</v>
      </c>
      <c r="U107" s="198">
        <f t="shared" si="62"/>
        <v>110.08642837500004</v>
      </c>
      <c r="V107" s="198">
        <f t="shared" si="62"/>
        <v>110.08642837500004</v>
      </c>
      <c r="W107" s="198">
        <f t="shared" si="62"/>
        <v>110.08642837500004</v>
      </c>
      <c r="X107" s="198">
        <f t="shared" si="62"/>
        <v>110.08642837500004</v>
      </c>
      <c r="Y107" s="198">
        <f t="shared" si="62"/>
        <v>110.08642837500004</v>
      </c>
      <c r="Z107" s="198">
        <f t="shared" si="62"/>
        <v>110.08642837500004</v>
      </c>
      <c r="AA107" s="198">
        <f t="shared" si="62"/>
        <v>110.08642837500004</v>
      </c>
      <c r="AB107" s="198">
        <f t="shared" si="62"/>
        <v>0</v>
      </c>
      <c r="AC107" s="198">
        <f t="shared" si="62"/>
        <v>0</v>
      </c>
      <c r="AD107" s="198">
        <f t="shared" si="62"/>
        <v>0</v>
      </c>
      <c r="AE107" s="198">
        <f t="shared" si="62"/>
        <v>0</v>
      </c>
      <c r="AF107" s="198">
        <f t="shared" si="62"/>
        <v>0</v>
      </c>
    </row>
    <row r="108" spans="1:32" s="16" customFormat="1" ht="15">
      <c r="A108" s="197" t="s">
        <v>163</v>
      </c>
      <c r="B108" s="180"/>
      <c r="C108" s="198"/>
      <c r="D108" s="198"/>
      <c r="E108" s="198"/>
      <c r="F108" s="198"/>
      <c r="G108" s="198"/>
      <c r="H108" s="198"/>
      <c r="I108" s="198">
        <f aca="true" t="shared" si="63" ref="I108:AF108">IF($H$96/$C$95*(I$5-$H$5)&gt;$H$96,0,$H$96/$C$95)</f>
        <v>117.79247836125005</v>
      </c>
      <c r="J108" s="198">
        <f t="shared" si="63"/>
        <v>117.79247836125005</v>
      </c>
      <c r="K108" s="198">
        <f t="shared" si="63"/>
        <v>117.79247836125005</v>
      </c>
      <c r="L108" s="198">
        <f t="shared" si="63"/>
        <v>117.79247836125005</v>
      </c>
      <c r="M108" s="198">
        <f t="shared" si="63"/>
        <v>117.79247836125005</v>
      </c>
      <c r="N108" s="198">
        <f t="shared" si="63"/>
        <v>117.79247836125005</v>
      </c>
      <c r="O108" s="198">
        <f t="shared" si="63"/>
        <v>117.79247836125005</v>
      </c>
      <c r="P108" s="198">
        <f t="shared" si="63"/>
        <v>117.79247836125005</v>
      </c>
      <c r="Q108" s="198">
        <f t="shared" si="63"/>
        <v>117.79247836125005</v>
      </c>
      <c r="R108" s="198">
        <f t="shared" si="63"/>
        <v>117.79247836125005</v>
      </c>
      <c r="S108" s="198">
        <f t="shared" si="63"/>
        <v>117.79247836125005</v>
      </c>
      <c r="T108" s="198">
        <f t="shared" si="63"/>
        <v>117.79247836125005</v>
      </c>
      <c r="U108" s="198">
        <f t="shared" si="63"/>
        <v>117.79247836125005</v>
      </c>
      <c r="V108" s="198">
        <f t="shared" si="63"/>
        <v>117.79247836125005</v>
      </c>
      <c r="W108" s="198">
        <f t="shared" si="63"/>
        <v>117.79247836125005</v>
      </c>
      <c r="X108" s="198">
        <f t="shared" si="63"/>
        <v>117.79247836125005</v>
      </c>
      <c r="Y108" s="198">
        <f t="shared" si="63"/>
        <v>117.79247836125005</v>
      </c>
      <c r="Z108" s="198">
        <f t="shared" si="63"/>
        <v>117.79247836125005</v>
      </c>
      <c r="AA108" s="198">
        <f t="shared" si="63"/>
        <v>117.79247836125005</v>
      </c>
      <c r="AB108" s="198">
        <f t="shared" si="63"/>
        <v>117.79247836125005</v>
      </c>
      <c r="AC108" s="198">
        <f t="shared" si="63"/>
        <v>0</v>
      </c>
      <c r="AD108" s="198">
        <f t="shared" si="63"/>
        <v>0</v>
      </c>
      <c r="AE108" s="198">
        <f t="shared" si="63"/>
        <v>0</v>
      </c>
      <c r="AF108" s="198">
        <f t="shared" si="63"/>
        <v>0</v>
      </c>
    </row>
    <row r="109" spans="1:32" s="16" customFormat="1" ht="15">
      <c r="A109" s="197" t="s">
        <v>164</v>
      </c>
      <c r="B109" s="180"/>
      <c r="C109" s="198"/>
      <c r="D109" s="198"/>
      <c r="E109" s="198"/>
      <c r="F109" s="198"/>
      <c r="G109" s="198"/>
      <c r="H109" s="198"/>
      <c r="I109" s="198"/>
      <c r="J109" s="198">
        <f aca="true" t="shared" si="64" ref="J109:AF109">IF($I$96/$C$95*(J$5-$I$5)&gt;$I$96,0,$I$96/$C$95)</f>
        <v>126.03795184653757</v>
      </c>
      <c r="K109" s="198">
        <f t="shared" si="64"/>
        <v>126.03795184653757</v>
      </c>
      <c r="L109" s="198">
        <f t="shared" si="64"/>
        <v>126.03795184653757</v>
      </c>
      <c r="M109" s="198">
        <f t="shared" si="64"/>
        <v>126.03795184653757</v>
      </c>
      <c r="N109" s="198">
        <f t="shared" si="64"/>
        <v>126.03795184653757</v>
      </c>
      <c r="O109" s="198">
        <f t="shared" si="64"/>
        <v>126.03795184653757</v>
      </c>
      <c r="P109" s="198">
        <f t="shared" si="64"/>
        <v>126.03795184653757</v>
      </c>
      <c r="Q109" s="198">
        <f t="shared" si="64"/>
        <v>126.03795184653757</v>
      </c>
      <c r="R109" s="198">
        <f t="shared" si="64"/>
        <v>126.03795184653757</v>
      </c>
      <c r="S109" s="198">
        <f t="shared" si="64"/>
        <v>126.03795184653757</v>
      </c>
      <c r="T109" s="198">
        <f t="shared" si="64"/>
        <v>126.03795184653757</v>
      </c>
      <c r="U109" s="198">
        <f t="shared" si="64"/>
        <v>126.03795184653757</v>
      </c>
      <c r="V109" s="198">
        <f t="shared" si="64"/>
        <v>126.03795184653757</v>
      </c>
      <c r="W109" s="198">
        <f t="shared" si="64"/>
        <v>126.03795184653757</v>
      </c>
      <c r="X109" s="198">
        <f t="shared" si="64"/>
        <v>126.03795184653757</v>
      </c>
      <c r="Y109" s="198">
        <f t="shared" si="64"/>
        <v>126.03795184653757</v>
      </c>
      <c r="Z109" s="198">
        <f t="shared" si="64"/>
        <v>126.03795184653757</v>
      </c>
      <c r="AA109" s="198">
        <f t="shared" si="64"/>
        <v>126.03795184653757</v>
      </c>
      <c r="AB109" s="198">
        <f t="shared" si="64"/>
        <v>126.03795184653757</v>
      </c>
      <c r="AC109" s="198">
        <f t="shared" si="64"/>
        <v>126.03795184653757</v>
      </c>
      <c r="AD109" s="198">
        <f t="shared" si="64"/>
        <v>0</v>
      </c>
      <c r="AE109" s="198">
        <f t="shared" si="64"/>
        <v>0</v>
      </c>
      <c r="AF109" s="198">
        <f t="shared" si="64"/>
        <v>0</v>
      </c>
    </row>
    <row r="110" spans="1:32" s="16" customFormat="1" ht="13.5" customHeight="1">
      <c r="A110" s="197" t="s">
        <v>165</v>
      </c>
      <c r="B110" s="180"/>
      <c r="C110" s="198"/>
      <c r="D110" s="198"/>
      <c r="E110" s="198"/>
      <c r="F110" s="198"/>
      <c r="G110" s="198"/>
      <c r="H110" s="198"/>
      <c r="I110" s="198"/>
      <c r="J110" s="198"/>
      <c r="K110" s="198">
        <f aca="true" t="shared" si="65" ref="K110:AF110">IF($J$96/$C$95*(K$5-$J$5)&gt;$J$96,0,$J$96/$C$95)</f>
        <v>134.86060847579523</v>
      </c>
      <c r="L110" s="198">
        <f t="shared" si="65"/>
        <v>134.86060847579523</v>
      </c>
      <c r="M110" s="198">
        <f t="shared" si="65"/>
        <v>134.86060847579523</v>
      </c>
      <c r="N110" s="198">
        <f t="shared" si="65"/>
        <v>134.86060847579523</v>
      </c>
      <c r="O110" s="198">
        <f t="shared" si="65"/>
        <v>134.86060847579523</v>
      </c>
      <c r="P110" s="198">
        <f t="shared" si="65"/>
        <v>134.86060847579523</v>
      </c>
      <c r="Q110" s="198">
        <f t="shared" si="65"/>
        <v>134.86060847579523</v>
      </c>
      <c r="R110" s="198">
        <f t="shared" si="65"/>
        <v>134.86060847579523</v>
      </c>
      <c r="S110" s="198">
        <f t="shared" si="65"/>
        <v>134.86060847579523</v>
      </c>
      <c r="T110" s="198">
        <f t="shared" si="65"/>
        <v>134.86060847579523</v>
      </c>
      <c r="U110" s="198">
        <f t="shared" si="65"/>
        <v>134.86060847579523</v>
      </c>
      <c r="V110" s="198">
        <f t="shared" si="65"/>
        <v>134.86060847579523</v>
      </c>
      <c r="W110" s="198">
        <f t="shared" si="65"/>
        <v>134.86060847579523</v>
      </c>
      <c r="X110" s="198">
        <f t="shared" si="65"/>
        <v>134.86060847579523</v>
      </c>
      <c r="Y110" s="198">
        <f t="shared" si="65"/>
        <v>134.86060847579523</v>
      </c>
      <c r="Z110" s="198">
        <f t="shared" si="65"/>
        <v>134.86060847579523</v>
      </c>
      <c r="AA110" s="198">
        <f t="shared" si="65"/>
        <v>134.86060847579523</v>
      </c>
      <c r="AB110" s="198">
        <f t="shared" si="65"/>
        <v>134.86060847579523</v>
      </c>
      <c r="AC110" s="198">
        <f t="shared" si="65"/>
        <v>134.86060847579523</v>
      </c>
      <c r="AD110" s="198">
        <f t="shared" si="65"/>
        <v>134.86060847579523</v>
      </c>
      <c r="AE110" s="198">
        <f t="shared" si="65"/>
        <v>0</v>
      </c>
      <c r="AF110" s="198">
        <f t="shared" si="65"/>
        <v>0</v>
      </c>
    </row>
    <row r="111" spans="1:32" s="16" customFormat="1" ht="13.5" customHeight="1">
      <c r="A111" s="197" t="s">
        <v>166</v>
      </c>
      <c r="B111" s="180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>
        <f aca="true" t="shared" si="66" ref="L111:AF111">IF($K$96/$C$95*(L$5-$K$5)&gt;$K$96,0,$K$96/$C$95)</f>
        <v>144.3008510691009</v>
      </c>
      <c r="M111" s="198">
        <f t="shared" si="66"/>
        <v>144.3008510691009</v>
      </c>
      <c r="N111" s="198">
        <f t="shared" si="66"/>
        <v>144.3008510691009</v>
      </c>
      <c r="O111" s="198">
        <f t="shared" si="66"/>
        <v>144.3008510691009</v>
      </c>
      <c r="P111" s="198">
        <f t="shared" si="66"/>
        <v>144.3008510691009</v>
      </c>
      <c r="Q111" s="198">
        <f t="shared" si="66"/>
        <v>144.3008510691009</v>
      </c>
      <c r="R111" s="198">
        <f t="shared" si="66"/>
        <v>144.3008510691009</v>
      </c>
      <c r="S111" s="198">
        <f t="shared" si="66"/>
        <v>144.3008510691009</v>
      </c>
      <c r="T111" s="198">
        <f t="shared" si="66"/>
        <v>144.3008510691009</v>
      </c>
      <c r="U111" s="198">
        <f t="shared" si="66"/>
        <v>144.3008510691009</v>
      </c>
      <c r="V111" s="198">
        <f t="shared" si="66"/>
        <v>144.3008510691009</v>
      </c>
      <c r="W111" s="198">
        <f t="shared" si="66"/>
        <v>144.3008510691009</v>
      </c>
      <c r="X111" s="198">
        <f t="shared" si="66"/>
        <v>144.3008510691009</v>
      </c>
      <c r="Y111" s="198">
        <f t="shared" si="66"/>
        <v>144.3008510691009</v>
      </c>
      <c r="Z111" s="198">
        <f t="shared" si="66"/>
        <v>144.3008510691009</v>
      </c>
      <c r="AA111" s="198">
        <f t="shared" si="66"/>
        <v>144.3008510691009</v>
      </c>
      <c r="AB111" s="198">
        <f t="shared" si="66"/>
        <v>144.3008510691009</v>
      </c>
      <c r="AC111" s="198">
        <f t="shared" si="66"/>
        <v>144.3008510691009</v>
      </c>
      <c r="AD111" s="198">
        <f t="shared" si="66"/>
        <v>144.3008510691009</v>
      </c>
      <c r="AE111" s="198">
        <f t="shared" si="66"/>
        <v>144.3008510691009</v>
      </c>
      <c r="AF111" s="198">
        <f t="shared" si="66"/>
        <v>0</v>
      </c>
    </row>
    <row r="112" spans="1:32" s="16" customFormat="1" ht="13.5" customHeight="1">
      <c r="A112" s="197" t="s">
        <v>167</v>
      </c>
      <c r="B112" s="180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>
        <f aca="true" t="shared" si="67" ref="M112:AF112">IF($L$96/$C$95*(M$5-$L$5)&gt;$L$96,0,$L$96/$C$95)</f>
        <v>154.40191064393792</v>
      </c>
      <c r="N112" s="198">
        <f t="shared" si="67"/>
        <v>154.40191064393792</v>
      </c>
      <c r="O112" s="198">
        <f t="shared" si="67"/>
        <v>154.40191064393792</v>
      </c>
      <c r="P112" s="198">
        <f t="shared" si="67"/>
        <v>154.40191064393792</v>
      </c>
      <c r="Q112" s="198">
        <f t="shared" si="67"/>
        <v>154.40191064393792</v>
      </c>
      <c r="R112" s="198">
        <f t="shared" si="67"/>
        <v>154.40191064393792</v>
      </c>
      <c r="S112" s="198">
        <f t="shared" si="67"/>
        <v>154.40191064393792</v>
      </c>
      <c r="T112" s="198">
        <f t="shared" si="67"/>
        <v>154.40191064393792</v>
      </c>
      <c r="U112" s="198">
        <f t="shared" si="67"/>
        <v>154.40191064393792</v>
      </c>
      <c r="V112" s="198">
        <f t="shared" si="67"/>
        <v>154.40191064393792</v>
      </c>
      <c r="W112" s="198">
        <f t="shared" si="67"/>
        <v>154.40191064393792</v>
      </c>
      <c r="X112" s="198">
        <f t="shared" si="67"/>
        <v>154.40191064393792</v>
      </c>
      <c r="Y112" s="198">
        <f t="shared" si="67"/>
        <v>154.40191064393792</v>
      </c>
      <c r="Z112" s="198">
        <f t="shared" si="67"/>
        <v>154.40191064393792</v>
      </c>
      <c r="AA112" s="198">
        <f t="shared" si="67"/>
        <v>154.40191064393792</v>
      </c>
      <c r="AB112" s="198">
        <f t="shared" si="67"/>
        <v>154.40191064393792</v>
      </c>
      <c r="AC112" s="198">
        <f t="shared" si="67"/>
        <v>154.40191064393792</v>
      </c>
      <c r="AD112" s="198">
        <f t="shared" si="67"/>
        <v>154.40191064393792</v>
      </c>
      <c r="AE112" s="198">
        <f t="shared" si="67"/>
        <v>154.40191064393792</v>
      </c>
      <c r="AF112" s="198">
        <f t="shared" si="67"/>
        <v>154.40191064393792</v>
      </c>
    </row>
    <row r="113" spans="1:32" s="16" customFormat="1" ht="13.5" customHeight="1">
      <c r="A113" s="197" t="s">
        <v>195</v>
      </c>
      <c r="B113" s="180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>
        <f aca="true" t="shared" si="68" ref="N113:AF113">IF($M$96/$C$95*(N$5-$M$5)&gt;$M$96,0,$M$96/$C$95)</f>
        <v>220.2800591853515</v>
      </c>
      <c r="O113" s="198">
        <f t="shared" si="68"/>
        <v>220.2800591853515</v>
      </c>
      <c r="P113" s="198">
        <f t="shared" si="68"/>
        <v>220.2800591853515</v>
      </c>
      <c r="Q113" s="198">
        <f t="shared" si="68"/>
        <v>220.2800591853515</v>
      </c>
      <c r="R113" s="198">
        <f t="shared" si="68"/>
        <v>220.2800591853515</v>
      </c>
      <c r="S113" s="198">
        <f t="shared" si="68"/>
        <v>220.2800591853515</v>
      </c>
      <c r="T113" s="198">
        <f t="shared" si="68"/>
        <v>220.2800591853515</v>
      </c>
      <c r="U113" s="198">
        <f t="shared" si="68"/>
        <v>220.2800591853515</v>
      </c>
      <c r="V113" s="198">
        <f t="shared" si="68"/>
        <v>220.2800591853515</v>
      </c>
      <c r="W113" s="198">
        <f t="shared" si="68"/>
        <v>220.2800591853515</v>
      </c>
      <c r="X113" s="198">
        <f t="shared" si="68"/>
        <v>220.2800591853515</v>
      </c>
      <c r="Y113" s="198">
        <f t="shared" si="68"/>
        <v>220.2800591853515</v>
      </c>
      <c r="Z113" s="198">
        <f t="shared" si="68"/>
        <v>220.2800591853515</v>
      </c>
      <c r="AA113" s="198">
        <f t="shared" si="68"/>
        <v>220.2800591853515</v>
      </c>
      <c r="AB113" s="198">
        <f t="shared" si="68"/>
        <v>220.2800591853515</v>
      </c>
      <c r="AC113" s="198">
        <f t="shared" si="68"/>
        <v>220.2800591853515</v>
      </c>
      <c r="AD113" s="198">
        <f t="shared" si="68"/>
        <v>220.2800591853515</v>
      </c>
      <c r="AE113" s="198">
        <f t="shared" si="68"/>
        <v>220.2800591853515</v>
      </c>
      <c r="AF113" s="198">
        <f t="shared" si="68"/>
        <v>220.2800591853515</v>
      </c>
    </row>
    <row r="114" spans="1:32" s="16" customFormat="1" ht="13.5" customHeight="1">
      <c r="A114" s="197" t="s">
        <v>196</v>
      </c>
      <c r="B114" s="180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>
        <f aca="true" t="shared" si="69" ref="O114:AF114">IF($N$96/$C$95*(O$5-$N$5)&gt;$N$96,0,$N$96/$C$95)</f>
        <v>235.6996633283261</v>
      </c>
      <c r="P114" s="198">
        <f t="shared" si="69"/>
        <v>235.6996633283261</v>
      </c>
      <c r="Q114" s="198">
        <f t="shared" si="69"/>
        <v>235.6996633283261</v>
      </c>
      <c r="R114" s="198">
        <f t="shared" si="69"/>
        <v>235.6996633283261</v>
      </c>
      <c r="S114" s="198">
        <f t="shared" si="69"/>
        <v>235.6996633283261</v>
      </c>
      <c r="T114" s="198">
        <f t="shared" si="69"/>
        <v>235.6996633283261</v>
      </c>
      <c r="U114" s="198">
        <f t="shared" si="69"/>
        <v>235.6996633283261</v>
      </c>
      <c r="V114" s="198">
        <f t="shared" si="69"/>
        <v>235.6996633283261</v>
      </c>
      <c r="W114" s="198">
        <f t="shared" si="69"/>
        <v>235.6996633283261</v>
      </c>
      <c r="X114" s="198">
        <f t="shared" si="69"/>
        <v>235.6996633283261</v>
      </c>
      <c r="Y114" s="198">
        <f t="shared" si="69"/>
        <v>235.6996633283261</v>
      </c>
      <c r="Z114" s="198">
        <f t="shared" si="69"/>
        <v>235.6996633283261</v>
      </c>
      <c r="AA114" s="198">
        <f t="shared" si="69"/>
        <v>235.6996633283261</v>
      </c>
      <c r="AB114" s="198">
        <f t="shared" si="69"/>
        <v>235.6996633283261</v>
      </c>
      <c r="AC114" s="198">
        <f t="shared" si="69"/>
        <v>235.6996633283261</v>
      </c>
      <c r="AD114" s="198">
        <f t="shared" si="69"/>
        <v>235.6996633283261</v>
      </c>
      <c r="AE114" s="198">
        <f t="shared" si="69"/>
        <v>235.6996633283261</v>
      </c>
      <c r="AF114" s="198">
        <f t="shared" si="69"/>
        <v>235.6996633283261</v>
      </c>
    </row>
    <row r="115" spans="1:32" s="16" customFormat="1" ht="13.5" customHeight="1">
      <c r="A115" s="197" t="s">
        <v>197</v>
      </c>
      <c r="B115" s="180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>
        <f aca="true" t="shared" si="70" ref="P115:AF115">IF($O$96/$C$95*(P$5-$O$5)&gt;$O$96,0,$O$96/$C$95)</f>
        <v>252.19863976130895</v>
      </c>
      <c r="Q115" s="198">
        <f t="shared" si="70"/>
        <v>252.19863976130895</v>
      </c>
      <c r="R115" s="198">
        <f t="shared" si="70"/>
        <v>252.19863976130895</v>
      </c>
      <c r="S115" s="198">
        <f t="shared" si="70"/>
        <v>252.19863976130895</v>
      </c>
      <c r="T115" s="198">
        <f t="shared" si="70"/>
        <v>252.19863976130895</v>
      </c>
      <c r="U115" s="198">
        <f t="shared" si="70"/>
        <v>252.19863976130895</v>
      </c>
      <c r="V115" s="198">
        <f t="shared" si="70"/>
        <v>252.19863976130895</v>
      </c>
      <c r="W115" s="198">
        <f t="shared" si="70"/>
        <v>252.19863976130895</v>
      </c>
      <c r="X115" s="198">
        <f t="shared" si="70"/>
        <v>252.19863976130895</v>
      </c>
      <c r="Y115" s="198">
        <f t="shared" si="70"/>
        <v>252.19863976130895</v>
      </c>
      <c r="Z115" s="198">
        <f t="shared" si="70"/>
        <v>252.19863976130895</v>
      </c>
      <c r="AA115" s="198">
        <f t="shared" si="70"/>
        <v>252.19863976130895</v>
      </c>
      <c r="AB115" s="198">
        <f t="shared" si="70"/>
        <v>252.19863976130895</v>
      </c>
      <c r="AC115" s="198">
        <f t="shared" si="70"/>
        <v>252.19863976130895</v>
      </c>
      <c r="AD115" s="198">
        <f t="shared" si="70"/>
        <v>252.19863976130895</v>
      </c>
      <c r="AE115" s="198">
        <f t="shared" si="70"/>
        <v>252.19863976130895</v>
      </c>
      <c r="AF115" s="198">
        <f t="shared" si="70"/>
        <v>252.19863976130895</v>
      </c>
    </row>
    <row r="116" spans="1:32" s="16" customFormat="1" ht="13.5" customHeight="1">
      <c r="A116" s="197" t="s">
        <v>198</v>
      </c>
      <c r="B116" s="180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>
        <f aca="true" t="shared" si="71" ref="Q116:AF116">IF($P$96/$C$95*(Q$5-$P$5)&gt;$P$96,0,$P$96/$C$95)</f>
        <v>269.8525445446006</v>
      </c>
      <c r="R116" s="198">
        <f t="shared" si="71"/>
        <v>269.8525445446006</v>
      </c>
      <c r="S116" s="198">
        <f t="shared" si="71"/>
        <v>269.8525445446006</v>
      </c>
      <c r="T116" s="198">
        <f t="shared" si="71"/>
        <v>269.8525445446006</v>
      </c>
      <c r="U116" s="198">
        <f t="shared" si="71"/>
        <v>269.8525445446006</v>
      </c>
      <c r="V116" s="198">
        <f t="shared" si="71"/>
        <v>269.8525445446006</v>
      </c>
      <c r="W116" s="198">
        <f t="shared" si="71"/>
        <v>269.8525445446006</v>
      </c>
      <c r="X116" s="198">
        <f t="shared" si="71"/>
        <v>269.8525445446006</v>
      </c>
      <c r="Y116" s="198">
        <f t="shared" si="71"/>
        <v>269.8525445446006</v>
      </c>
      <c r="Z116" s="198">
        <f t="shared" si="71"/>
        <v>269.8525445446006</v>
      </c>
      <c r="AA116" s="198">
        <f t="shared" si="71"/>
        <v>269.8525445446006</v>
      </c>
      <c r="AB116" s="198">
        <f t="shared" si="71"/>
        <v>269.8525445446006</v>
      </c>
      <c r="AC116" s="198">
        <f t="shared" si="71"/>
        <v>269.8525445446006</v>
      </c>
      <c r="AD116" s="198">
        <f t="shared" si="71"/>
        <v>269.8525445446006</v>
      </c>
      <c r="AE116" s="198">
        <f t="shared" si="71"/>
        <v>269.8525445446006</v>
      </c>
      <c r="AF116" s="198">
        <f t="shared" si="71"/>
        <v>269.8525445446006</v>
      </c>
    </row>
    <row r="117" spans="1:32" s="16" customFormat="1" ht="13.5" customHeight="1">
      <c r="A117" s="197" t="s">
        <v>199</v>
      </c>
      <c r="B117" s="180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>
        <f aca="true" t="shared" si="72" ref="R117:AF117">IF($Q$96/$C$95*(R$5-$Q$5)&gt;$Q$96,0,$Q$96/$C$95)</f>
        <v>288.74222266272267</v>
      </c>
      <c r="S117" s="198">
        <f t="shared" si="72"/>
        <v>288.74222266272267</v>
      </c>
      <c r="T117" s="198">
        <f t="shared" si="72"/>
        <v>288.74222266272267</v>
      </c>
      <c r="U117" s="198">
        <f t="shared" si="72"/>
        <v>288.74222266272267</v>
      </c>
      <c r="V117" s="198">
        <f t="shared" si="72"/>
        <v>288.74222266272267</v>
      </c>
      <c r="W117" s="198">
        <f t="shared" si="72"/>
        <v>288.74222266272267</v>
      </c>
      <c r="X117" s="198">
        <f t="shared" si="72"/>
        <v>288.74222266272267</v>
      </c>
      <c r="Y117" s="198">
        <f t="shared" si="72"/>
        <v>288.74222266272267</v>
      </c>
      <c r="Z117" s="198">
        <f t="shared" si="72"/>
        <v>288.74222266272267</v>
      </c>
      <c r="AA117" s="198">
        <f t="shared" si="72"/>
        <v>288.74222266272267</v>
      </c>
      <c r="AB117" s="198">
        <f t="shared" si="72"/>
        <v>288.74222266272267</v>
      </c>
      <c r="AC117" s="198">
        <f t="shared" si="72"/>
        <v>288.74222266272267</v>
      </c>
      <c r="AD117" s="198">
        <f t="shared" si="72"/>
        <v>288.74222266272267</v>
      </c>
      <c r="AE117" s="198">
        <f t="shared" si="72"/>
        <v>288.74222266272267</v>
      </c>
      <c r="AF117" s="198">
        <f t="shared" si="72"/>
        <v>288.74222266272267</v>
      </c>
    </row>
    <row r="118" spans="1:32" s="16" customFormat="1" ht="13.5" customHeight="1">
      <c r="A118" s="197" t="s">
        <v>200</v>
      </c>
      <c r="B118" s="180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>
        <f aca="true" t="shared" si="73" ref="S118:AF118">IF($R$96/$C$95*(S$5-$R$5)&gt;$R$96,0,$R$96/$C$95)</f>
        <v>308.9541782491133</v>
      </c>
      <c r="T118" s="198">
        <f t="shared" si="73"/>
        <v>308.9541782491133</v>
      </c>
      <c r="U118" s="198">
        <f t="shared" si="73"/>
        <v>308.9541782491133</v>
      </c>
      <c r="V118" s="198">
        <f t="shared" si="73"/>
        <v>308.9541782491133</v>
      </c>
      <c r="W118" s="198">
        <f t="shared" si="73"/>
        <v>308.9541782491133</v>
      </c>
      <c r="X118" s="198">
        <f t="shared" si="73"/>
        <v>308.9541782491133</v>
      </c>
      <c r="Y118" s="198">
        <f t="shared" si="73"/>
        <v>308.9541782491133</v>
      </c>
      <c r="Z118" s="198">
        <f t="shared" si="73"/>
        <v>308.9541782491133</v>
      </c>
      <c r="AA118" s="198">
        <f t="shared" si="73"/>
        <v>308.9541782491133</v>
      </c>
      <c r="AB118" s="198">
        <f t="shared" si="73"/>
        <v>308.9541782491133</v>
      </c>
      <c r="AC118" s="198">
        <f t="shared" si="73"/>
        <v>308.9541782491133</v>
      </c>
      <c r="AD118" s="198">
        <f t="shared" si="73"/>
        <v>308.9541782491133</v>
      </c>
      <c r="AE118" s="198">
        <f t="shared" si="73"/>
        <v>308.9541782491133</v>
      </c>
      <c r="AF118" s="198">
        <f t="shared" si="73"/>
        <v>308.9541782491133</v>
      </c>
    </row>
    <row r="119" spans="1:32" s="16" customFormat="1" ht="13.5" customHeight="1">
      <c r="A119" s="197" t="s">
        <v>201</v>
      </c>
      <c r="B119" s="180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>
        <f aca="true" t="shared" si="74" ref="T119:AF119">IF($S$96/$C$95*(T$5-$S$5)&gt;$S$96,0,$S$96/$C$95)</f>
        <v>330.58097072655124</v>
      </c>
      <c r="U119" s="198">
        <f t="shared" si="74"/>
        <v>330.58097072655124</v>
      </c>
      <c r="V119" s="198">
        <f t="shared" si="74"/>
        <v>330.58097072655124</v>
      </c>
      <c r="W119" s="198">
        <f t="shared" si="74"/>
        <v>330.58097072655124</v>
      </c>
      <c r="X119" s="198">
        <f t="shared" si="74"/>
        <v>330.58097072655124</v>
      </c>
      <c r="Y119" s="198">
        <f t="shared" si="74"/>
        <v>330.58097072655124</v>
      </c>
      <c r="Z119" s="198">
        <f t="shared" si="74"/>
        <v>330.58097072655124</v>
      </c>
      <c r="AA119" s="198">
        <f t="shared" si="74"/>
        <v>330.58097072655124</v>
      </c>
      <c r="AB119" s="198">
        <f t="shared" si="74"/>
        <v>330.58097072655124</v>
      </c>
      <c r="AC119" s="198">
        <f t="shared" si="74"/>
        <v>330.58097072655124</v>
      </c>
      <c r="AD119" s="198">
        <f t="shared" si="74"/>
        <v>330.58097072655124</v>
      </c>
      <c r="AE119" s="198">
        <f t="shared" si="74"/>
        <v>330.58097072655124</v>
      </c>
      <c r="AF119" s="198">
        <f t="shared" si="74"/>
        <v>330.58097072655124</v>
      </c>
    </row>
    <row r="120" spans="1:32" s="16" customFormat="1" ht="13.5" customHeight="1">
      <c r="A120" s="197" t="s">
        <v>202</v>
      </c>
      <c r="B120" s="180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>
        <f aca="true" t="shared" si="75" ref="U120:AF120">IF($T$96/$C$95*(U$5-$T$5)&gt;$T$96,0,$T$96/$C$95)</f>
        <v>353.7216386774098</v>
      </c>
      <c r="V120" s="198">
        <f t="shared" si="75"/>
        <v>353.7216386774098</v>
      </c>
      <c r="W120" s="198">
        <f t="shared" si="75"/>
        <v>353.7216386774098</v>
      </c>
      <c r="X120" s="198">
        <f t="shared" si="75"/>
        <v>353.7216386774098</v>
      </c>
      <c r="Y120" s="198">
        <f t="shared" si="75"/>
        <v>353.7216386774098</v>
      </c>
      <c r="Z120" s="198">
        <f t="shared" si="75"/>
        <v>353.7216386774098</v>
      </c>
      <c r="AA120" s="198">
        <f t="shared" si="75"/>
        <v>353.7216386774098</v>
      </c>
      <c r="AB120" s="198">
        <f t="shared" si="75"/>
        <v>353.7216386774098</v>
      </c>
      <c r="AC120" s="198">
        <f t="shared" si="75"/>
        <v>353.7216386774098</v>
      </c>
      <c r="AD120" s="198">
        <f t="shared" si="75"/>
        <v>353.7216386774098</v>
      </c>
      <c r="AE120" s="198">
        <f t="shared" si="75"/>
        <v>353.7216386774098</v>
      </c>
      <c r="AF120" s="198">
        <f t="shared" si="75"/>
        <v>353.7216386774098</v>
      </c>
    </row>
    <row r="121" spans="1:32" s="16" customFormat="1" ht="13.5" customHeight="1">
      <c r="A121" s="197" t="s">
        <v>203</v>
      </c>
      <c r="B121" s="180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>
        <f aca="true" t="shared" si="76" ref="V121:AF121">IF($U$96/$C$95*(V$5-$U$5)&gt;$U$96,0,$U$96/$C$95)</f>
        <v>378.48215338482856</v>
      </c>
      <c r="W121" s="198">
        <f t="shared" si="76"/>
        <v>378.48215338482856</v>
      </c>
      <c r="X121" s="198">
        <f t="shared" si="76"/>
        <v>378.48215338482856</v>
      </c>
      <c r="Y121" s="198">
        <f t="shared" si="76"/>
        <v>378.48215338482856</v>
      </c>
      <c r="Z121" s="198">
        <f t="shared" si="76"/>
        <v>378.48215338482856</v>
      </c>
      <c r="AA121" s="198">
        <f t="shared" si="76"/>
        <v>378.48215338482856</v>
      </c>
      <c r="AB121" s="198">
        <f t="shared" si="76"/>
        <v>378.48215338482856</v>
      </c>
      <c r="AC121" s="198">
        <f t="shared" si="76"/>
        <v>378.48215338482856</v>
      </c>
      <c r="AD121" s="198">
        <f t="shared" si="76"/>
        <v>378.48215338482856</v>
      </c>
      <c r="AE121" s="198">
        <f t="shared" si="76"/>
        <v>378.48215338482856</v>
      </c>
      <c r="AF121" s="198">
        <f t="shared" si="76"/>
        <v>378.48215338482856</v>
      </c>
    </row>
    <row r="122" spans="1:32" s="16" customFormat="1" ht="13.5" customHeight="1">
      <c r="A122" s="197" t="s">
        <v>204</v>
      </c>
      <c r="B122" s="180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>
        <f aca="true" t="shared" si="77" ref="W122:AF122">IF($V$96/$C$95*(W$5-$V$5)&gt;$V$96,0,$V$96/$C$95)</f>
        <v>404.9759041217666</v>
      </c>
      <c r="X122" s="198">
        <f t="shared" si="77"/>
        <v>404.9759041217666</v>
      </c>
      <c r="Y122" s="198">
        <f t="shared" si="77"/>
        <v>404.9759041217666</v>
      </c>
      <c r="Z122" s="198">
        <f t="shared" si="77"/>
        <v>404.9759041217666</v>
      </c>
      <c r="AA122" s="198">
        <f t="shared" si="77"/>
        <v>404.9759041217666</v>
      </c>
      <c r="AB122" s="198">
        <f t="shared" si="77"/>
        <v>404.9759041217666</v>
      </c>
      <c r="AC122" s="198">
        <f t="shared" si="77"/>
        <v>404.9759041217666</v>
      </c>
      <c r="AD122" s="198">
        <f t="shared" si="77"/>
        <v>404.9759041217666</v>
      </c>
      <c r="AE122" s="198">
        <f t="shared" si="77"/>
        <v>404.9759041217666</v>
      </c>
      <c r="AF122" s="198">
        <f t="shared" si="77"/>
        <v>404.9759041217666</v>
      </c>
    </row>
    <row r="123" spans="1:32" s="16" customFormat="1" ht="13.5" customHeight="1">
      <c r="A123" s="197" t="s">
        <v>205</v>
      </c>
      <c r="B123" s="180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>
        <f aca="true" t="shared" si="78" ref="X123:AF123">IF($W$96/$C$95*(X$5-$W$5)&gt;$W$96,0,$W$96/$C$95)</f>
        <v>433.3242174102902</v>
      </c>
      <c r="Y123" s="198">
        <f t="shared" si="78"/>
        <v>433.3242174102902</v>
      </c>
      <c r="Z123" s="198">
        <f t="shared" si="78"/>
        <v>433.3242174102902</v>
      </c>
      <c r="AA123" s="198">
        <f t="shared" si="78"/>
        <v>433.3242174102902</v>
      </c>
      <c r="AB123" s="198">
        <f t="shared" si="78"/>
        <v>433.3242174102902</v>
      </c>
      <c r="AC123" s="198">
        <f t="shared" si="78"/>
        <v>433.3242174102902</v>
      </c>
      <c r="AD123" s="198">
        <f t="shared" si="78"/>
        <v>433.3242174102902</v>
      </c>
      <c r="AE123" s="198">
        <f t="shared" si="78"/>
        <v>433.3242174102902</v>
      </c>
      <c r="AF123" s="198">
        <f t="shared" si="78"/>
        <v>433.3242174102902</v>
      </c>
    </row>
    <row r="124" spans="1:32" s="16" customFormat="1" ht="13.5" customHeight="1">
      <c r="A124" s="197" t="s">
        <v>206</v>
      </c>
      <c r="B124" s="180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>
        <f aca="true" t="shared" si="79" ref="Y124:AF124">IF($X$96/$C$95*(Y$5-$X$5)&gt;$X$96,0,$X$96/$C$95)</f>
        <v>463.65691262901055</v>
      </c>
      <c r="Z124" s="198">
        <f t="shared" si="79"/>
        <v>463.65691262901055</v>
      </c>
      <c r="AA124" s="198">
        <f t="shared" si="79"/>
        <v>463.65691262901055</v>
      </c>
      <c r="AB124" s="198">
        <f t="shared" si="79"/>
        <v>463.65691262901055</v>
      </c>
      <c r="AC124" s="198">
        <f t="shared" si="79"/>
        <v>463.65691262901055</v>
      </c>
      <c r="AD124" s="198">
        <f t="shared" si="79"/>
        <v>463.65691262901055</v>
      </c>
      <c r="AE124" s="198">
        <f t="shared" si="79"/>
        <v>463.65691262901055</v>
      </c>
      <c r="AF124" s="198">
        <f t="shared" si="79"/>
        <v>463.65691262901055</v>
      </c>
    </row>
    <row r="125" spans="1:32" s="16" customFormat="1" ht="13.5" customHeight="1">
      <c r="A125" s="197" t="s">
        <v>207</v>
      </c>
      <c r="B125" s="180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>
        <f aca="true" t="shared" si="80" ref="Z125:AF125">IF($Y$96/$C$95*(Z$5-$Y$5)&gt;$Y$96,0,$Y$96/$C$95)</f>
        <v>496.1128965130412</v>
      </c>
      <c r="AA125" s="198">
        <f t="shared" si="80"/>
        <v>496.1128965130412</v>
      </c>
      <c r="AB125" s="198">
        <f t="shared" si="80"/>
        <v>496.1128965130412</v>
      </c>
      <c r="AC125" s="198">
        <f t="shared" si="80"/>
        <v>496.1128965130412</v>
      </c>
      <c r="AD125" s="198">
        <f t="shared" si="80"/>
        <v>496.1128965130412</v>
      </c>
      <c r="AE125" s="198">
        <f t="shared" si="80"/>
        <v>496.1128965130412</v>
      </c>
      <c r="AF125" s="198">
        <f t="shared" si="80"/>
        <v>496.1128965130412</v>
      </c>
    </row>
    <row r="126" spans="1:32" s="16" customFormat="1" ht="13.5" customHeight="1">
      <c r="A126" s="197" t="s">
        <v>208</v>
      </c>
      <c r="B126" s="180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>
        <f aca="true" t="shared" si="81" ref="AA126:AF126">IF($Z$96/$C$95*(AA$5-$Z$5)&gt;$Z$96,0,$Z$96/$C$95)</f>
        <v>530.8407992689542</v>
      </c>
      <c r="AB126" s="198">
        <f t="shared" si="81"/>
        <v>530.8407992689542</v>
      </c>
      <c r="AC126" s="198">
        <f t="shared" si="81"/>
        <v>530.8407992689542</v>
      </c>
      <c r="AD126" s="198">
        <f t="shared" si="81"/>
        <v>530.8407992689542</v>
      </c>
      <c r="AE126" s="198">
        <f t="shared" si="81"/>
        <v>530.8407992689542</v>
      </c>
      <c r="AF126" s="198">
        <f t="shared" si="81"/>
        <v>530.8407992689542</v>
      </c>
    </row>
    <row r="127" spans="1:32" s="16" customFormat="1" ht="13.5" customHeight="1">
      <c r="A127" s="197" t="s">
        <v>209</v>
      </c>
      <c r="B127" s="18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>
        <f>IF($AA$96/$C$95*(AB$5-$AA$5)&gt;$AA$96,0,$AA$96/$C$95)</f>
        <v>567.9996552177811</v>
      </c>
      <c r="AC127" s="198">
        <f>IF($AA$96/$C$95*(AC$5-$AA$5)&gt;$AA$96,0,$AA$96/$C$95)</f>
        <v>567.9996552177811</v>
      </c>
      <c r="AD127" s="198">
        <f>IF($AA$96/$C$95*(AD$5-$AA$5)&gt;$AA$96,0,$AA$96/$C$95)</f>
        <v>567.9996552177811</v>
      </c>
      <c r="AE127" s="198">
        <f>IF($AA$96/$C$95*(AE$5-$AA$5)&gt;$AA$96,0,$AA$96/$C$95)</f>
        <v>567.9996552177811</v>
      </c>
      <c r="AF127" s="198">
        <f>IF($AA$96/$C$95*(AF$5-$AA$5)&gt;$AA$96,0,$AA$96/$C$95)</f>
        <v>567.9996552177811</v>
      </c>
    </row>
    <row r="128" spans="1:32" s="16" customFormat="1" ht="13.5" customHeight="1">
      <c r="A128" s="197" t="s">
        <v>210</v>
      </c>
      <c r="B128" s="180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>
        <f>IF($AB$96/$C$95*(AC$5-$AB$5)&gt;$AB$96,0,$AB$96/$C$95)</f>
        <v>607.7596310830257</v>
      </c>
      <c r="AD128" s="198">
        <f>IF($AB$96/$C$95*(AD$5-$AB$5)&gt;$AB$96,0,$AB$96/$C$95)</f>
        <v>607.7596310830257</v>
      </c>
      <c r="AE128" s="198">
        <f>IF($AB$96/$C$95*(AE$5-$AB$5)&gt;$AB$96,0,$AB$96/$C$95)</f>
        <v>607.7596310830257</v>
      </c>
      <c r="AF128" s="198">
        <f>IF($AB$96/$C$95*(AF$5-$AB$5)&gt;$AB$96,0,$AB$96/$C$95)</f>
        <v>607.7596310830257</v>
      </c>
    </row>
    <row r="129" spans="1:32" s="16" customFormat="1" ht="13.5" customHeight="1">
      <c r="A129" s="197" t="s">
        <v>211</v>
      </c>
      <c r="B129" s="18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>
        <f>IF($AC$96/$C$95*(AD$5-$AC$5)&gt;$AC$96,0,$AC$96/$C$95)</f>
        <v>650.3028052588377</v>
      </c>
      <c r="AE129" s="198">
        <f>IF($AC$96/$C$95*(AE$5-$AC$5)&gt;$AC$96,0,$AC$96/$C$95)</f>
        <v>650.3028052588377</v>
      </c>
      <c r="AF129" s="198">
        <f>IF($AC$96/$C$95*(AF$5-$AC$5)&gt;$AC$96,0,$AC$96/$C$95)</f>
        <v>650.3028052588377</v>
      </c>
    </row>
    <row r="130" spans="1:32" s="16" customFormat="1" ht="13.5" customHeight="1">
      <c r="A130" s="197" t="s">
        <v>212</v>
      </c>
      <c r="B130" s="180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>
        <f>IF($AD$96/$C$95*(AE$5-$AD$5)&gt;$AD$96,0,$AD$96/$C$95)</f>
        <v>695.8240016269563</v>
      </c>
      <c r="AF130" s="198">
        <f>IF($AD$96/$C$95*(AF$5-$AD$5)&gt;$AD$96,0,$AD$96/$C$95)</f>
        <v>695.8240016269563</v>
      </c>
    </row>
    <row r="131" spans="1:32" s="16" customFormat="1" ht="13.5" customHeight="1">
      <c r="A131" s="197" t="s">
        <v>213</v>
      </c>
      <c r="B131" s="180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>
        <f>IF($AE$96/$C$95*(AF$5-$AE$5)&gt;$AE$96,0,$AE$96/$C$95)</f>
        <v>744.5316817408432</v>
      </c>
    </row>
    <row r="132" spans="1:32" s="16" customFormat="1" ht="15">
      <c r="A132" s="196" t="s">
        <v>39</v>
      </c>
      <c r="B132" s="193"/>
      <c r="C132" s="195">
        <f>SUM(C103:C131)</f>
        <v>0</v>
      </c>
      <c r="D132" s="195">
        <f>SUM(D103:D131)</f>
        <v>82.50000000000001</v>
      </c>
      <c r="E132" s="195">
        <f>SUM(E103:E131)</f>
        <v>174.07500000000005</v>
      </c>
      <c r="F132" s="195">
        <f>SUM(F103:F131)</f>
        <v>270.2287500000001</v>
      </c>
      <c r="G132" s="195">
        <f>SUM(G103:G131)</f>
        <v>373.11326250000013</v>
      </c>
      <c r="H132" s="195">
        <f aca="true" t="shared" si="82" ref="H132:AF132">SUM(H103:H131)</f>
        <v>483.19969087500016</v>
      </c>
      <c r="I132" s="195">
        <f t="shared" si="82"/>
        <v>600.9921692362502</v>
      </c>
      <c r="J132" s="195">
        <f>SUM(J103:J131)</f>
        <v>727.0301210827878</v>
      </c>
      <c r="K132" s="195">
        <f t="shared" si="82"/>
        <v>861.890729558583</v>
      </c>
      <c r="L132" s="195">
        <f t="shared" si="82"/>
        <v>1006.1915806276838</v>
      </c>
      <c r="M132" s="195">
        <f t="shared" si="82"/>
        <v>1160.5934912716218</v>
      </c>
      <c r="N132" s="195">
        <f t="shared" si="82"/>
        <v>1380.8735504569734</v>
      </c>
      <c r="O132" s="195">
        <f t="shared" si="82"/>
        <v>1616.5732137852995</v>
      </c>
      <c r="P132" s="195">
        <f t="shared" si="82"/>
        <v>1868.7718535466083</v>
      </c>
      <c r="Q132" s="195">
        <f t="shared" si="82"/>
        <v>2138.624398091209</v>
      </c>
      <c r="R132" s="195">
        <f t="shared" si="82"/>
        <v>2427.366620753932</v>
      </c>
      <c r="S132" s="195">
        <f t="shared" si="82"/>
        <v>2736.320799003045</v>
      </c>
      <c r="T132" s="195">
        <f t="shared" si="82"/>
        <v>3066.9017697295963</v>
      </c>
      <c r="U132" s="195">
        <f t="shared" si="82"/>
        <v>3420.623408407006</v>
      </c>
      <c r="V132" s="195">
        <f t="shared" si="82"/>
        <v>3799.1055617918346</v>
      </c>
      <c r="W132" s="195">
        <f t="shared" si="82"/>
        <v>4204.081465913601</v>
      </c>
      <c r="X132" s="195">
        <f t="shared" si="82"/>
        <v>4554.905683323892</v>
      </c>
      <c r="Y132" s="195">
        <f t="shared" si="82"/>
        <v>4926.987595952902</v>
      </c>
      <c r="Z132" s="195">
        <f t="shared" si="82"/>
        <v>5326.946742465943</v>
      </c>
      <c r="AA132" s="195">
        <f t="shared" si="82"/>
        <v>5754.903029234897</v>
      </c>
      <c r="AB132" s="195">
        <f t="shared" si="82"/>
        <v>6212.816256077678</v>
      </c>
      <c r="AC132" s="195">
        <f t="shared" si="82"/>
        <v>6702.783408799453</v>
      </c>
      <c r="AD132" s="195">
        <f t="shared" si="82"/>
        <v>7227.048262211754</v>
      </c>
      <c r="AE132" s="195">
        <f t="shared" si="82"/>
        <v>7788.011655362916</v>
      </c>
      <c r="AF132" s="195">
        <f t="shared" si="82"/>
        <v>8388.242486034658</v>
      </c>
    </row>
    <row r="133" spans="1:32" s="16" customFormat="1" ht="15">
      <c r="A133" s="99" t="s">
        <v>23</v>
      </c>
      <c r="B133" s="193"/>
      <c r="C133" s="201">
        <f>'конкурсные предложения'!B22</f>
        <v>0.05</v>
      </c>
      <c r="D133" s="202">
        <f aca="true" t="shared" si="83" ref="D133:AF133">C133</f>
        <v>0.05</v>
      </c>
      <c r="E133" s="202">
        <f t="shared" si="83"/>
        <v>0.05</v>
      </c>
      <c r="F133" s="202">
        <f t="shared" si="83"/>
        <v>0.05</v>
      </c>
      <c r="G133" s="202">
        <f t="shared" si="83"/>
        <v>0.05</v>
      </c>
      <c r="H133" s="202">
        <f t="shared" si="83"/>
        <v>0.05</v>
      </c>
      <c r="I133" s="202">
        <f t="shared" si="83"/>
        <v>0.05</v>
      </c>
      <c r="J133" s="202">
        <f t="shared" si="83"/>
        <v>0.05</v>
      </c>
      <c r="K133" s="202">
        <f t="shared" si="83"/>
        <v>0.05</v>
      </c>
      <c r="L133" s="202">
        <f t="shared" si="83"/>
        <v>0.05</v>
      </c>
      <c r="M133" s="202">
        <f t="shared" si="83"/>
        <v>0.05</v>
      </c>
      <c r="N133" s="202">
        <f t="shared" si="83"/>
        <v>0.05</v>
      </c>
      <c r="O133" s="202">
        <f t="shared" si="83"/>
        <v>0.05</v>
      </c>
      <c r="P133" s="202">
        <f t="shared" si="83"/>
        <v>0.05</v>
      </c>
      <c r="Q133" s="202">
        <f t="shared" si="83"/>
        <v>0.05</v>
      </c>
      <c r="R133" s="202">
        <f t="shared" si="83"/>
        <v>0.05</v>
      </c>
      <c r="S133" s="202">
        <f t="shared" si="83"/>
        <v>0.05</v>
      </c>
      <c r="T133" s="202">
        <f t="shared" si="83"/>
        <v>0.05</v>
      </c>
      <c r="U133" s="202">
        <f t="shared" si="83"/>
        <v>0.05</v>
      </c>
      <c r="V133" s="202">
        <f t="shared" si="83"/>
        <v>0.05</v>
      </c>
      <c r="W133" s="202">
        <f t="shared" si="83"/>
        <v>0.05</v>
      </c>
      <c r="X133" s="202">
        <f t="shared" si="83"/>
        <v>0.05</v>
      </c>
      <c r="Y133" s="202">
        <f t="shared" si="83"/>
        <v>0.05</v>
      </c>
      <c r="Z133" s="202">
        <f t="shared" si="83"/>
        <v>0.05</v>
      </c>
      <c r="AA133" s="202">
        <f t="shared" si="83"/>
        <v>0.05</v>
      </c>
      <c r="AB133" s="202">
        <f t="shared" si="83"/>
        <v>0.05</v>
      </c>
      <c r="AC133" s="202">
        <f t="shared" si="83"/>
        <v>0.05</v>
      </c>
      <c r="AD133" s="202">
        <f t="shared" si="83"/>
        <v>0.05</v>
      </c>
      <c r="AE133" s="202">
        <f t="shared" si="83"/>
        <v>0.05</v>
      </c>
      <c r="AF133" s="202">
        <f t="shared" si="83"/>
        <v>0.05</v>
      </c>
    </row>
    <row r="134" spans="1:32" s="16" customFormat="1" ht="20.25" customHeight="1">
      <c r="A134" s="99" t="s">
        <v>3</v>
      </c>
      <c r="B134" s="180"/>
      <c r="C134" s="194">
        <f>C133*'конкурсная документация'!B64</f>
        <v>25</v>
      </c>
      <c r="D134" s="195">
        <f aca="true" t="shared" si="84" ref="D134:AF134">D133*C169</f>
        <v>29.074138888888896</v>
      </c>
      <c r="E134" s="195">
        <f t="shared" si="84"/>
        <v>46.812982454861114</v>
      </c>
      <c r="F134" s="195">
        <f t="shared" si="84"/>
        <v>67.86110748366147</v>
      </c>
      <c r="G134" s="195">
        <f t="shared" si="84"/>
        <v>91.34419655790478</v>
      </c>
      <c r="H134" s="195">
        <f t="shared" si="84"/>
        <v>117.94826848409372</v>
      </c>
      <c r="I134" s="195">
        <f t="shared" si="84"/>
        <v>147.69386655132135</v>
      </c>
      <c r="J134" s="195">
        <f t="shared" si="84"/>
        <v>180.72538081481449</v>
      </c>
      <c r="K134" s="195">
        <f t="shared" si="84"/>
        <v>217.20017646163012</v>
      </c>
      <c r="L134" s="195">
        <f t="shared" si="84"/>
        <v>257.34528251369403</v>
      </c>
      <c r="M134" s="195">
        <f t="shared" si="84"/>
        <v>301.2360783063653</v>
      </c>
      <c r="N134" s="195">
        <f t="shared" si="84"/>
        <v>349.7303594271657</v>
      </c>
      <c r="O134" s="195">
        <f t="shared" si="84"/>
        <v>420.2846435738288</v>
      </c>
      <c r="P134" s="195">
        <f t="shared" si="84"/>
        <v>497.4523957638466</v>
      </c>
      <c r="Q134" s="195">
        <f t="shared" si="84"/>
        <v>581.45486442896</v>
      </c>
      <c r="R134" s="195">
        <f t="shared" si="84"/>
        <v>672.5029454142887</v>
      </c>
      <c r="S134" s="195">
        <f t="shared" si="84"/>
        <v>771.0658075204602</v>
      </c>
      <c r="T134" s="195">
        <f t="shared" si="84"/>
        <v>877.5735880203746</v>
      </c>
      <c r="U134" s="195">
        <f t="shared" si="84"/>
        <v>992.4906388976763</v>
      </c>
      <c r="V134" s="195">
        <f t="shared" si="84"/>
        <v>1116.4307432960834</v>
      </c>
      <c r="W134" s="195">
        <f t="shared" si="84"/>
        <v>1249.723464205379</v>
      </c>
      <c r="X134" s="195">
        <f t="shared" si="84"/>
        <v>1393.058286987307</v>
      </c>
      <c r="Y134" s="195">
        <f t="shared" si="84"/>
        <v>1542.948291270905</v>
      </c>
      <c r="Z134" s="195">
        <f t="shared" si="84"/>
        <v>1705.3205870586498</v>
      </c>
      <c r="AA134" s="195">
        <f t="shared" si="84"/>
        <v>1881.7428706505434</v>
      </c>
      <c r="AB134" s="195">
        <f t="shared" si="84"/>
        <v>2072.8983413109922</v>
      </c>
      <c r="AC134" s="195">
        <f t="shared" si="84"/>
        <v>2280.110306086462</v>
      </c>
      <c r="AD134" s="195">
        <f t="shared" si="84"/>
        <v>2504.6639644380994</v>
      </c>
      <c r="AE134" s="195">
        <f t="shared" si="84"/>
        <v>2747.9476378268623</v>
      </c>
      <c r="AF134" s="195">
        <f t="shared" si="84"/>
        <v>3011.683116669821</v>
      </c>
    </row>
    <row r="135" spans="1:32" s="236" customFormat="1" ht="15">
      <c r="A135" s="177" t="s">
        <v>119</v>
      </c>
      <c r="B135" s="87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</row>
    <row r="136" spans="1:32" s="16" customFormat="1" ht="15.75" customHeight="1">
      <c r="A136" s="99" t="s">
        <v>15</v>
      </c>
      <c r="B136" s="203"/>
      <c r="C136" s="201">
        <f>'конкурсные предложения'!B23</f>
        <v>0</v>
      </c>
      <c r="D136" s="201">
        <f>'конкурсные предложения'!C23</f>
        <v>0</v>
      </c>
      <c r="E136" s="201">
        <f>'конкурсные предложения'!D23</f>
        <v>0</v>
      </c>
      <c r="F136" s="201">
        <f aca="true" t="shared" si="85" ref="F136:V136">E136</f>
        <v>0</v>
      </c>
      <c r="G136" s="202">
        <f t="shared" si="85"/>
        <v>0</v>
      </c>
      <c r="H136" s="202">
        <f t="shared" si="85"/>
        <v>0</v>
      </c>
      <c r="I136" s="202">
        <f t="shared" si="85"/>
        <v>0</v>
      </c>
      <c r="J136" s="202">
        <f t="shared" si="85"/>
        <v>0</v>
      </c>
      <c r="K136" s="202">
        <f t="shared" si="85"/>
        <v>0</v>
      </c>
      <c r="L136" s="202">
        <f t="shared" si="85"/>
        <v>0</v>
      </c>
      <c r="M136" s="202">
        <f t="shared" si="85"/>
        <v>0</v>
      </c>
      <c r="N136" s="202">
        <f t="shared" si="85"/>
        <v>0</v>
      </c>
      <c r="O136" s="202">
        <f t="shared" si="85"/>
        <v>0</v>
      </c>
      <c r="P136" s="202">
        <f t="shared" si="85"/>
        <v>0</v>
      </c>
      <c r="Q136" s="202">
        <f t="shared" si="85"/>
        <v>0</v>
      </c>
      <c r="R136" s="202">
        <f t="shared" si="85"/>
        <v>0</v>
      </c>
      <c r="S136" s="202">
        <f t="shared" si="85"/>
        <v>0</v>
      </c>
      <c r="T136" s="202">
        <f t="shared" si="85"/>
        <v>0</v>
      </c>
      <c r="U136" s="202">
        <f t="shared" si="85"/>
        <v>0</v>
      </c>
      <c r="V136" s="202">
        <f t="shared" si="85"/>
        <v>0</v>
      </c>
      <c r="W136" s="202">
        <f aca="true" t="shared" si="86" ref="W136:AF136">V136</f>
        <v>0</v>
      </c>
      <c r="X136" s="202">
        <f t="shared" si="86"/>
        <v>0</v>
      </c>
      <c r="Y136" s="202">
        <f t="shared" si="86"/>
        <v>0</v>
      </c>
      <c r="Z136" s="202">
        <f t="shared" si="86"/>
        <v>0</v>
      </c>
      <c r="AA136" s="202">
        <f t="shared" si="86"/>
        <v>0</v>
      </c>
      <c r="AB136" s="202">
        <f t="shared" si="86"/>
        <v>0</v>
      </c>
      <c r="AC136" s="202">
        <f t="shared" si="86"/>
        <v>0</v>
      </c>
      <c r="AD136" s="202">
        <f t="shared" si="86"/>
        <v>0</v>
      </c>
      <c r="AE136" s="202">
        <f t="shared" si="86"/>
        <v>0</v>
      </c>
      <c r="AF136" s="202">
        <f t="shared" si="86"/>
        <v>0</v>
      </c>
    </row>
    <row r="137" spans="1:32" s="16" customFormat="1" ht="15">
      <c r="A137" s="204" t="s">
        <v>4</v>
      </c>
      <c r="B137" s="193"/>
      <c r="C137" s="195">
        <f aca="true" t="shared" si="87" ref="C137:AF137">C98*C136</f>
        <v>0</v>
      </c>
      <c r="D137" s="195">
        <f t="shared" si="87"/>
        <v>0</v>
      </c>
      <c r="E137" s="195">
        <f t="shared" si="87"/>
        <v>0</v>
      </c>
      <c r="F137" s="195">
        <f t="shared" si="87"/>
        <v>0</v>
      </c>
      <c r="G137" s="195">
        <f t="shared" si="87"/>
        <v>0</v>
      </c>
      <c r="H137" s="195">
        <f t="shared" si="87"/>
        <v>0</v>
      </c>
      <c r="I137" s="195">
        <f t="shared" si="87"/>
        <v>0</v>
      </c>
      <c r="J137" s="195">
        <f t="shared" si="87"/>
        <v>0</v>
      </c>
      <c r="K137" s="195">
        <f t="shared" si="87"/>
        <v>0</v>
      </c>
      <c r="L137" s="195">
        <f t="shared" si="87"/>
        <v>0</v>
      </c>
      <c r="M137" s="195">
        <f t="shared" si="87"/>
        <v>0</v>
      </c>
      <c r="N137" s="195">
        <f t="shared" si="87"/>
        <v>0</v>
      </c>
      <c r="O137" s="195">
        <f t="shared" si="87"/>
        <v>0</v>
      </c>
      <c r="P137" s="195">
        <f t="shared" si="87"/>
        <v>0</v>
      </c>
      <c r="Q137" s="195">
        <f t="shared" si="87"/>
        <v>0</v>
      </c>
      <c r="R137" s="195">
        <f t="shared" si="87"/>
        <v>0</v>
      </c>
      <c r="S137" s="195">
        <f t="shared" si="87"/>
        <v>0</v>
      </c>
      <c r="T137" s="195">
        <f t="shared" si="87"/>
        <v>0</v>
      </c>
      <c r="U137" s="195">
        <f t="shared" si="87"/>
        <v>0</v>
      </c>
      <c r="V137" s="195">
        <f t="shared" si="87"/>
        <v>0</v>
      </c>
      <c r="W137" s="195">
        <f t="shared" si="87"/>
        <v>0</v>
      </c>
      <c r="X137" s="195">
        <f t="shared" si="87"/>
        <v>0</v>
      </c>
      <c r="Y137" s="195">
        <f t="shared" si="87"/>
        <v>0</v>
      </c>
      <c r="Z137" s="195">
        <f t="shared" si="87"/>
        <v>0</v>
      </c>
      <c r="AA137" s="195">
        <f t="shared" si="87"/>
        <v>0</v>
      </c>
      <c r="AB137" s="195">
        <f t="shared" si="87"/>
        <v>0</v>
      </c>
      <c r="AC137" s="195">
        <f t="shared" si="87"/>
        <v>0</v>
      </c>
      <c r="AD137" s="195">
        <f t="shared" si="87"/>
        <v>0</v>
      </c>
      <c r="AE137" s="195">
        <f t="shared" si="87"/>
        <v>0</v>
      </c>
      <c r="AF137" s="195">
        <f t="shared" si="87"/>
        <v>0</v>
      </c>
    </row>
    <row r="138" spans="1:32" s="16" customFormat="1" ht="29.25" customHeight="1">
      <c r="A138" s="99" t="s">
        <v>16</v>
      </c>
      <c r="B138" s="205"/>
      <c r="C138" s="201">
        <f>'конкурсные предложения'!B$24</f>
        <v>0.1</v>
      </c>
      <c r="D138" s="201">
        <f>'конкурсные предложения'!C$24</f>
        <v>0.11</v>
      </c>
      <c r="E138" s="201">
        <f>'конкурсные предложения'!D$24</f>
        <v>0.12</v>
      </c>
      <c r="F138" s="201">
        <f>'конкурсные предложения'!E$24</f>
        <v>0.13</v>
      </c>
      <c r="G138" s="201">
        <f>'конкурсные предложения'!F$24</f>
        <v>0.14</v>
      </c>
      <c r="H138" s="201">
        <f>'конкурсные предложения'!G$24</f>
        <v>0.15</v>
      </c>
      <c r="I138" s="201">
        <f>'конкурсные предложения'!H$24</f>
        <v>0.16</v>
      </c>
      <c r="J138" s="201">
        <f>'конкурсные предложения'!I$24</f>
        <v>0.17</v>
      </c>
      <c r="K138" s="201">
        <f>'конкурсные предложения'!J$24</f>
        <v>0.18</v>
      </c>
      <c r="L138" s="201">
        <f>'конкурсные предложения'!K$24</f>
        <v>0.19</v>
      </c>
      <c r="M138" s="201">
        <f>'конкурсные предложения'!L$24</f>
        <v>0.2</v>
      </c>
      <c r="N138" s="201">
        <f>'конкурсные предложения'!M$24</f>
        <v>0.21</v>
      </c>
      <c r="O138" s="201">
        <f>'конкурсные предложения'!N$24</f>
        <v>0.22</v>
      </c>
      <c r="P138" s="201">
        <f>'конкурсные предложения'!O$24</f>
        <v>0.23</v>
      </c>
      <c r="Q138" s="201">
        <f>'конкурсные предложения'!P$24</f>
        <v>0.24</v>
      </c>
      <c r="R138" s="201">
        <f>'конкурсные предложения'!Q$24</f>
        <v>0.25</v>
      </c>
      <c r="S138" s="201">
        <f>'конкурсные предложения'!R$24</f>
        <v>0.26</v>
      </c>
      <c r="T138" s="201">
        <f>'конкурсные предложения'!S$24</f>
        <v>0.27</v>
      </c>
      <c r="U138" s="201">
        <f>'конкурсные предложения'!T$24</f>
        <v>0.28</v>
      </c>
      <c r="V138" s="201">
        <f>'конкурсные предложения'!U$24</f>
        <v>0.29</v>
      </c>
      <c r="W138" s="201">
        <f>'конкурсные предложения'!V$24</f>
        <v>0.3</v>
      </c>
      <c r="X138" s="201">
        <f>'конкурсные предложения'!W$24</f>
        <v>0.31</v>
      </c>
      <c r="Y138" s="201">
        <f>'конкурсные предложения'!X$24</f>
        <v>0.32</v>
      </c>
      <c r="Z138" s="201">
        <f>'конкурсные предложения'!Y$24</f>
        <v>0.33</v>
      </c>
      <c r="AA138" s="201">
        <f>'конкурсные предложения'!Z$24</f>
        <v>0.34</v>
      </c>
      <c r="AB138" s="201">
        <f>'конкурсные предложения'!AA$24</f>
        <v>0.35</v>
      </c>
      <c r="AC138" s="201">
        <f>'конкурсные предложения'!AB$24</f>
        <v>0.36</v>
      </c>
      <c r="AD138" s="201">
        <f>'конкурсные предложения'!AC$24</f>
        <v>0.37</v>
      </c>
      <c r="AE138" s="201">
        <f>'конкурсные предложения'!AD$24</f>
        <v>0.38</v>
      </c>
      <c r="AF138" s="201">
        <f>'конкурсные предложения'!AE$24</f>
        <v>0.39</v>
      </c>
    </row>
    <row r="139" spans="1:32" s="16" customFormat="1" ht="15">
      <c r="A139" s="99" t="s">
        <v>5</v>
      </c>
      <c r="B139" s="180"/>
      <c r="C139" s="195">
        <f aca="true" t="shared" si="88" ref="C139:AF139">(C101+C134)*C138</f>
        <v>2.5</v>
      </c>
      <c r="D139" s="195">
        <f t="shared" si="88"/>
        <v>184.6981552777778</v>
      </c>
      <c r="E139" s="195">
        <f t="shared" si="88"/>
        <v>413.4975578945834</v>
      </c>
      <c r="F139" s="195">
        <f t="shared" si="88"/>
        <v>678.0619439728763</v>
      </c>
      <c r="G139" s="195">
        <f t="shared" si="88"/>
        <v>983.7527975181072</v>
      </c>
      <c r="H139" s="195">
        <f t="shared" si="88"/>
        <v>1332.3037610226143</v>
      </c>
      <c r="I139" s="195">
        <f t="shared" si="88"/>
        <v>1725.5072876642118</v>
      </c>
      <c r="J139" s="195">
        <f t="shared" si="88"/>
        <v>2165.327218076084</v>
      </c>
      <c r="K139" s="195">
        <f t="shared" si="88"/>
        <v>2653.897639309065</v>
      </c>
      <c r="L139" s="195">
        <f t="shared" si="88"/>
        <v>3193.5479626448027</v>
      </c>
      <c r="M139" s="195">
        <f t="shared" si="88"/>
        <v>3786.776919971699</v>
      </c>
      <c r="N139" s="195">
        <f t="shared" si="88"/>
        <v>4667.751180417087</v>
      </c>
      <c r="O139" s="195">
        <f t="shared" si="88"/>
        <v>5638.8333262076</v>
      </c>
      <c r="P139" s="195">
        <f t="shared" si="88"/>
        <v>6701.194418679415</v>
      </c>
      <c r="Q139" s="195">
        <f t="shared" si="88"/>
        <v>7859.498259194957</v>
      </c>
      <c r="R139" s="195">
        <f t="shared" si="88"/>
        <v>9118.794387365224</v>
      </c>
      <c r="S139" s="195">
        <f t="shared" si="88"/>
        <v>10484.618912506807</v>
      </c>
      <c r="T139" s="195">
        <f t="shared" si="88"/>
        <v>11962.96121299229</v>
      </c>
      <c r="U139" s="195">
        <f t="shared" si="88"/>
        <v>13560.319305825376</v>
      </c>
      <c r="V139" s="195">
        <f t="shared" si="88"/>
        <v>15283.774755360077</v>
      </c>
      <c r="W139" s="195">
        <f t="shared" si="88"/>
        <v>17140.913043527988</v>
      </c>
      <c r="X139" s="195">
        <f t="shared" si="88"/>
        <v>19140.05550021857</v>
      </c>
      <c r="Y139" s="195">
        <f t="shared" si="88"/>
        <v>21315.27586891968</v>
      </c>
      <c r="Z139" s="195">
        <f t="shared" si="88"/>
        <v>23683.400307754997</v>
      </c>
      <c r="AA139" s="195">
        <f t="shared" si="88"/>
        <v>26259.61822397141</v>
      </c>
      <c r="AB139" s="195">
        <f t="shared" si="88"/>
        <v>29060.645877464565</v>
      </c>
      <c r="AC139" s="195">
        <f t="shared" si="88"/>
        <v>32104.80184432111</v>
      </c>
      <c r="AD139" s="195">
        <f t="shared" si="88"/>
        <v>35411.89764680196</v>
      </c>
      <c r="AE139" s="195">
        <f t="shared" si="88"/>
        <v>39003.407830192526</v>
      </c>
      <c r="AF139" s="195">
        <f t="shared" si="88"/>
        <v>42902.69270814391</v>
      </c>
    </row>
    <row r="140" spans="1:32" s="16" customFormat="1" ht="30">
      <c r="A140" s="99" t="s">
        <v>6</v>
      </c>
      <c r="B140" s="193"/>
      <c r="C140" s="195">
        <f aca="true" t="shared" si="89" ref="C140:AF140">C137+C139</f>
        <v>2.5</v>
      </c>
      <c r="D140" s="195">
        <f>D137+D139</f>
        <v>184.6981552777778</v>
      </c>
      <c r="E140" s="195">
        <f t="shared" si="89"/>
        <v>413.4975578945834</v>
      </c>
      <c r="F140" s="195">
        <f t="shared" si="89"/>
        <v>678.0619439728763</v>
      </c>
      <c r="G140" s="195">
        <f t="shared" si="89"/>
        <v>983.7527975181072</v>
      </c>
      <c r="H140" s="195">
        <f t="shared" si="89"/>
        <v>1332.3037610226143</v>
      </c>
      <c r="I140" s="195">
        <f t="shared" si="89"/>
        <v>1725.5072876642118</v>
      </c>
      <c r="J140" s="195">
        <f t="shared" si="89"/>
        <v>2165.327218076084</v>
      </c>
      <c r="K140" s="195">
        <f t="shared" si="89"/>
        <v>2653.897639309065</v>
      </c>
      <c r="L140" s="195">
        <f t="shared" si="89"/>
        <v>3193.5479626448027</v>
      </c>
      <c r="M140" s="195">
        <f t="shared" si="89"/>
        <v>3786.776919971699</v>
      </c>
      <c r="N140" s="195">
        <f t="shared" si="89"/>
        <v>4667.751180417087</v>
      </c>
      <c r="O140" s="195">
        <f t="shared" si="89"/>
        <v>5638.8333262076</v>
      </c>
      <c r="P140" s="195">
        <f t="shared" si="89"/>
        <v>6701.194418679415</v>
      </c>
      <c r="Q140" s="195">
        <f t="shared" si="89"/>
        <v>7859.498259194957</v>
      </c>
      <c r="R140" s="195">
        <f t="shared" si="89"/>
        <v>9118.794387365224</v>
      </c>
      <c r="S140" s="195">
        <f t="shared" si="89"/>
        <v>10484.618912506807</v>
      </c>
      <c r="T140" s="195">
        <f t="shared" si="89"/>
        <v>11962.96121299229</v>
      </c>
      <c r="U140" s="195">
        <f t="shared" si="89"/>
        <v>13560.319305825376</v>
      </c>
      <c r="V140" s="195">
        <f t="shared" si="89"/>
        <v>15283.774755360077</v>
      </c>
      <c r="W140" s="195">
        <f t="shared" si="89"/>
        <v>17140.913043527988</v>
      </c>
      <c r="X140" s="195">
        <f t="shared" si="89"/>
        <v>19140.05550021857</v>
      </c>
      <c r="Y140" s="195">
        <f t="shared" si="89"/>
        <v>21315.27586891968</v>
      </c>
      <c r="Z140" s="195">
        <f t="shared" si="89"/>
        <v>23683.400307754997</v>
      </c>
      <c r="AA140" s="195">
        <f t="shared" si="89"/>
        <v>26259.61822397141</v>
      </c>
      <c r="AB140" s="195">
        <f t="shared" si="89"/>
        <v>29060.645877464565</v>
      </c>
      <c r="AC140" s="195">
        <f t="shared" si="89"/>
        <v>32104.80184432111</v>
      </c>
      <c r="AD140" s="195">
        <f t="shared" si="89"/>
        <v>35411.89764680196</v>
      </c>
      <c r="AE140" s="195">
        <f t="shared" si="89"/>
        <v>39003.407830192526</v>
      </c>
      <c r="AF140" s="195">
        <f t="shared" si="89"/>
        <v>42902.69270814391</v>
      </c>
    </row>
    <row r="141" spans="1:32" s="236" customFormat="1" ht="15">
      <c r="A141" s="177" t="s">
        <v>7</v>
      </c>
      <c r="B141" s="87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</row>
    <row r="142" spans="1:39" s="170" customFormat="1" ht="60" customHeight="1">
      <c r="A142" s="230" t="s">
        <v>116</v>
      </c>
      <c r="B142" s="231"/>
      <c r="C142" s="232">
        <f>C12*'конкурсная документация'!$B$16*'конкурсная документация'!C65/1000</f>
        <v>1.32</v>
      </c>
      <c r="D142" s="232">
        <f>D12*'конкурсная документация'!$B$16*'конкурсная документация'!D65/1000</f>
        <v>1.4520000000000002</v>
      </c>
      <c r="E142" s="232">
        <f>E12*'конкурсная документация'!$B$16*'конкурсная документация'!E65/1000</f>
        <v>1.53912</v>
      </c>
      <c r="F142" s="232">
        <f>F12*'конкурсная документация'!$B$16*'конкурсная документация'!F65/1000</f>
        <v>1.6468584000000004</v>
      </c>
      <c r="G142" s="232">
        <f>G12*'конкурсная документация'!$B$16*'конкурсная документация'!G65/1000</f>
        <v>1.7621384880000006</v>
      </c>
      <c r="H142" s="232">
        <f>H12*'конкурсная документация'!$B$16*'конкурсная документация'!H65/1000</f>
        <v>1.8854881821600007</v>
      </c>
      <c r="I142" s="232">
        <f>I12*'конкурсная документация'!$B$16*'конкурсная документация'!I65/1000</f>
        <v>2.017472354911201</v>
      </c>
      <c r="J142" s="232">
        <f>J12*'конкурсная документация'!$B$16*'конкурсная документация'!J65/1000</f>
        <v>2.158695419754985</v>
      </c>
      <c r="K142" s="232">
        <f>K12*'конкурсная документация'!$B$16*'конкурсная документация'!K65/1000</f>
        <v>2.3098040991378337</v>
      </c>
      <c r="L142" s="232">
        <f>L12*'конкурсная документация'!$B$16*'конкурсная документация'!L65/1000</f>
        <v>2.4714903860774826</v>
      </c>
      <c r="M142" s="232">
        <f>M12*'конкурсная документация'!$B$16*'конкурсная документация'!M65/1000</f>
        <v>2.6444947131029064</v>
      </c>
      <c r="N142" s="232">
        <f>N12*'конкурсная документация'!$B$16*'конкурсная документация'!N65/1000</f>
        <v>2.8296093430201106</v>
      </c>
      <c r="O142" s="232">
        <f>O12*'конкурсная документация'!$B$16*'конкурсная документация'!O65/1000</f>
        <v>3.027681997031518</v>
      </c>
      <c r="P142" s="232">
        <f>P12*'конкурсная документация'!$B$16*'конкурсная документация'!P65/1000</f>
        <v>3.2396197368237245</v>
      </c>
      <c r="Q142" s="232">
        <f>Q12*'конкурсная документация'!$B$16*'конкурсная документация'!Q65/1000</f>
        <v>3.4663931184013843</v>
      </c>
      <c r="R142" s="232">
        <f>R12*'конкурсная документация'!$B$16*'конкурсная документация'!R65/1000</f>
        <v>3.709040636689483</v>
      </c>
      <c r="S142" s="232">
        <f>S12*'конкурсная документация'!$B$16*'конкурсная документация'!S65/1000</f>
        <v>3.9686734812577456</v>
      </c>
      <c r="T142" s="232">
        <f>T12*'конкурсная документация'!$B$16*'конкурсная документация'!T65/1000</f>
        <v>4.246480624945788</v>
      </c>
      <c r="U142" s="232">
        <f>U12*'конкурсная документация'!$B$16*'конкурсная документация'!U65/1000</f>
        <v>4.543734268691994</v>
      </c>
      <c r="V142" s="232">
        <f>V12*'конкурсная документация'!$B$16*'конкурсная документация'!V65/1000</f>
        <v>4.8617956675004335</v>
      </c>
      <c r="W142" s="232">
        <f>W12*'конкурсная документация'!$B$16*'конкурсная документация'!W65/1000</f>
        <v>5.202121364225463</v>
      </c>
      <c r="X142" s="232">
        <f>X12*'конкурсная документация'!$B$16*'конкурсная документация'!X65/1000</f>
        <v>5.566269859721246</v>
      </c>
      <c r="Y142" s="232">
        <f>Y12*'конкурсная документация'!$B$16*'конкурсная документация'!Y65/1000</f>
        <v>5.955908749901735</v>
      </c>
      <c r="Z142" s="232">
        <f>Z12*'конкурсная документация'!$B$16*'конкурсная документация'!Z65/1000</f>
        <v>6.372822362394856</v>
      </c>
      <c r="AA142" s="232">
        <f>AA12*'конкурсная документация'!$B$16*'конкурсная документация'!AA65/1000</f>
        <v>6.818919927762496</v>
      </c>
      <c r="AB142" s="232">
        <f>AB12*'конкурсная документация'!$B$16*'конкурсная документация'!AB65/1000</f>
        <v>7.296244322705873</v>
      </c>
      <c r="AC142" s="232">
        <f>AC12*'конкурсная документация'!$B$16*'конкурсная документация'!AC65/1000</f>
        <v>7.806981425295284</v>
      </c>
      <c r="AD142" s="232">
        <f>AD12*'конкурсная документация'!$B$16*'конкурсная документация'!AD65/1000</f>
        <v>8.353470125065954</v>
      </c>
      <c r="AE142" s="232">
        <f>AE12*'конкурсная документация'!$B$16*'конкурсная документация'!AE65/1000</f>
        <v>8.938213033820572</v>
      </c>
      <c r="AF142" s="232">
        <f>AF12*'конкурсная документация'!$B$16*'конкурсная документация'!AF65/1000</f>
        <v>9.56388794618801</v>
      </c>
      <c r="AM142" s="159"/>
    </row>
    <row r="143" spans="1:39" s="16" customFormat="1" ht="15">
      <c r="A143" s="99" t="s">
        <v>117</v>
      </c>
      <c r="B143" s="191"/>
      <c r="C143" s="206">
        <f>'конкурсные предложения'!B21*C12</f>
        <v>13.200000000000001</v>
      </c>
      <c r="D143" s="224">
        <f>C143*D148*(1+D145)*(1-0.01)</f>
        <v>17.070075000000003</v>
      </c>
      <c r="E143" s="224">
        <f>D143*E148*(1+E145)*(1-0.01)</f>
        <v>17.913336705000003</v>
      </c>
      <c r="F143" s="206">
        <f>'конкурсные предложения'!E21*F12</f>
        <v>16.468584000000003</v>
      </c>
      <c r="G143" s="224">
        <f>F143*G148*(1+G145)*(1-0.01)</f>
        <v>17.445171031200005</v>
      </c>
      <c r="H143" s="224">
        <f>G143*H148*(1+H145)*(1-0.01)</f>
        <v>18.479669673350166</v>
      </c>
      <c r="I143" s="224">
        <f>H143*I148*(1+I145)*(1-0.01)</f>
        <v>19.575514084979833</v>
      </c>
      <c r="J143" s="224">
        <f>I143*J148*(1+J145)*(1-0.01)</f>
        <v>20.73634207021914</v>
      </c>
      <c r="K143" s="206">
        <f>'конкурсные предложения'!J21*K12</f>
        <v>23.09804099137834</v>
      </c>
      <c r="L143" s="224">
        <f>K143*L148*(1+L145)*(1-0.01)</f>
        <v>24.467754822167077</v>
      </c>
      <c r="M143" s="224">
        <f>L143*M148*(1+M145)*(1-0.01)</f>
        <v>25.918692683121588</v>
      </c>
      <c r="N143" s="224">
        <f>M143*N148*(1+N145)*(1-0.01)</f>
        <v>27.455671159230697</v>
      </c>
      <c r="O143" s="224">
        <f>N143*O148*(1+O145)*(1-0.01)</f>
        <v>29.08379245897308</v>
      </c>
      <c r="P143" s="206">
        <f>'конкурсные предложения'!O21*P12</f>
        <v>32.396197368237246</v>
      </c>
      <c r="Q143" s="224">
        <f>P143*Q148*(1+Q145)*(1-0.01)</f>
        <v>34.31729187217372</v>
      </c>
      <c r="R143" s="224">
        <f>Q143*R148*(1+R145)*(1-0.01)</f>
        <v>36.35230728019362</v>
      </c>
      <c r="S143" s="224">
        <f>R143*S148*(1+S145)*(1-0.01)</f>
        <v>38.50799910190911</v>
      </c>
      <c r="T143" s="224">
        <f>S143*T148*(1+T145)*(1-0.01)</f>
        <v>40.79152344865231</v>
      </c>
      <c r="U143" s="206">
        <f>'конкурсные предложения'!T21*U12</f>
        <v>45.43734268691993</v>
      </c>
      <c r="V143" s="224">
        <f>U143*V148*(1+V145)*(1-0.01)</f>
        <v>48.13177710825428</v>
      </c>
      <c r="W143" s="224">
        <f>V143*W148*(1+W145)*(1-0.01)</f>
        <v>50.98599149077376</v>
      </c>
      <c r="X143" s="224">
        <f>W143*X148*(1+X145)*(1-0.01)</f>
        <v>54.009460786176646</v>
      </c>
      <c r="Y143" s="224">
        <f>X143*Y148*(1+Y145)*(1-0.01)</f>
        <v>57.212221810796926</v>
      </c>
      <c r="Z143" s="206">
        <f>'конкурсные предложения'!Y21*Z12</f>
        <v>63.728223623948566</v>
      </c>
      <c r="AA143" s="224">
        <f>Z143*AA148*(1+AA145)*(1-0.01)</f>
        <v>67.50730728484872</v>
      </c>
      <c r="AB143" s="224">
        <f>AA143*AB148*(1+AB145)*(1-0.01)</f>
        <v>71.51049060684025</v>
      </c>
      <c r="AC143" s="224">
        <f>AB143*AC148*(1+AC145)*(1-0.01)</f>
        <v>75.75106269982588</v>
      </c>
      <c r="AD143" s="224">
        <f>AC143*AD148*(1+AD145)*(1-0.01)</f>
        <v>80.24310071792556</v>
      </c>
      <c r="AE143" s="206">
        <f>'конкурсные предложения'!AD21*AE12</f>
        <v>89.38213033820571</v>
      </c>
      <c r="AF143" s="224">
        <f>AE143*AF148*(1+AF145)*(1-0.01)</f>
        <v>94.68249066726132</v>
      </c>
      <c r="AM143" s="136"/>
    </row>
    <row r="144" spans="1:39" s="16" customFormat="1" ht="30">
      <c r="A144" s="207" t="s">
        <v>36</v>
      </c>
      <c r="B144" s="180"/>
      <c r="C144" s="194">
        <v>0.75</v>
      </c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M144" s="136"/>
    </row>
    <row r="145" spans="1:39" s="16" customFormat="1" ht="15">
      <c r="A145" s="207" t="s">
        <v>17</v>
      </c>
      <c r="B145" s="208"/>
      <c r="C145" s="210"/>
      <c r="D145" s="201">
        <f>'конкурсная документация'!D$23</f>
        <v>0.1</v>
      </c>
      <c r="E145" s="201">
        <f>'конкурсная документация'!E$23</f>
        <v>0.06</v>
      </c>
      <c r="F145" s="201">
        <f>'конкурсная документация'!F$23</f>
        <v>0.07</v>
      </c>
      <c r="G145" s="201">
        <f>'конкурсная документация'!G$23</f>
        <v>0.07</v>
      </c>
      <c r="H145" s="201">
        <f>'конкурсная документация'!H$23</f>
        <v>0.07</v>
      </c>
      <c r="I145" s="201">
        <f>'конкурсная документация'!I$23</f>
        <v>0.07</v>
      </c>
      <c r="J145" s="201">
        <f>'конкурсная документация'!J$23</f>
        <v>0.07</v>
      </c>
      <c r="K145" s="201">
        <f>'конкурсная документация'!K$23</f>
        <v>0.07</v>
      </c>
      <c r="L145" s="201">
        <f>'конкурсная документация'!L$23</f>
        <v>0.07</v>
      </c>
      <c r="M145" s="201">
        <f>'конкурсная документация'!M$23</f>
        <v>0.07</v>
      </c>
      <c r="N145" s="201">
        <f>'конкурсная документация'!N$23</f>
        <v>0.07</v>
      </c>
      <c r="O145" s="201">
        <f>'конкурсная документация'!O$23</f>
        <v>0.07</v>
      </c>
      <c r="P145" s="201">
        <f>'конкурсная документация'!P$23</f>
        <v>0.07</v>
      </c>
      <c r="Q145" s="201">
        <f>'конкурсная документация'!Q$23</f>
        <v>0.07</v>
      </c>
      <c r="R145" s="201">
        <f>'конкурсная документация'!R$23</f>
        <v>0.07</v>
      </c>
      <c r="S145" s="201">
        <f>'конкурсная документация'!S$23</f>
        <v>0.07</v>
      </c>
      <c r="T145" s="201">
        <f>'конкурсная документация'!T$23</f>
        <v>0.07</v>
      </c>
      <c r="U145" s="201">
        <f>'конкурсная документация'!U$23</f>
        <v>0.07</v>
      </c>
      <c r="V145" s="201">
        <f>'конкурсная документация'!V$23</f>
        <v>0.07</v>
      </c>
      <c r="W145" s="201">
        <f>'конкурсная документация'!W$23</f>
        <v>0.07</v>
      </c>
      <c r="X145" s="201">
        <f>'конкурсная документация'!X$23</f>
        <v>0.07</v>
      </c>
      <c r="Y145" s="201">
        <f>'конкурсная документация'!Y$23</f>
        <v>0.07</v>
      </c>
      <c r="Z145" s="201">
        <f>'конкурсная документация'!Z$23</f>
        <v>0.07</v>
      </c>
      <c r="AA145" s="201">
        <f>'конкурсная документация'!AA$23</f>
        <v>0.07</v>
      </c>
      <c r="AB145" s="201">
        <f>'конкурсная документация'!AB$23</f>
        <v>0.07</v>
      </c>
      <c r="AC145" s="201">
        <f>'конкурсная документация'!AC$23</f>
        <v>0.07</v>
      </c>
      <c r="AD145" s="201">
        <f>'конкурсная документация'!AD$23</f>
        <v>0.07</v>
      </c>
      <c r="AE145" s="201">
        <f>'конкурсная документация'!AE$23</f>
        <v>0.07</v>
      </c>
      <c r="AF145" s="201">
        <f>'конкурсная документация'!AF$23</f>
        <v>0.07</v>
      </c>
      <c r="AM145" s="136"/>
    </row>
    <row r="146" spans="1:32" s="16" customFormat="1" ht="47.25" customHeight="1">
      <c r="A146" s="207" t="s">
        <v>99</v>
      </c>
      <c r="B146" s="213">
        <f>'конкурсная документация'!B62</f>
        <v>1</v>
      </c>
      <c r="C146" s="214">
        <f>'конкурсная документация'!C62</f>
        <v>1</v>
      </c>
      <c r="D146" s="214">
        <f>'конкурсная документация'!D62</f>
        <v>1</v>
      </c>
      <c r="E146" s="214">
        <f>'конкурсная документация'!E62</f>
        <v>1</v>
      </c>
      <c r="F146" s="214">
        <f>'конкурсная документация'!F62</f>
        <v>1</v>
      </c>
      <c r="G146" s="214">
        <f>'конкурсная документация'!G62</f>
        <v>1</v>
      </c>
      <c r="H146" s="214">
        <f>'конкурсная документация'!H62</f>
        <v>1</v>
      </c>
      <c r="I146" s="214">
        <f>'конкурсная документация'!I62</f>
        <v>1</v>
      </c>
      <c r="J146" s="214">
        <f>'конкурсная документация'!J62</f>
        <v>1</v>
      </c>
      <c r="K146" s="214">
        <f>'конкурсная документация'!K62</f>
        <v>1</v>
      </c>
      <c r="L146" s="214">
        <f>'конкурсная документация'!L62</f>
        <v>1</v>
      </c>
      <c r="M146" s="214">
        <f>'конкурсная документация'!M62</f>
        <v>1</v>
      </c>
      <c r="N146" s="214">
        <f>'конкурсная документация'!N62</f>
        <v>1</v>
      </c>
      <c r="O146" s="214">
        <f>'конкурсная документация'!O62</f>
        <v>1</v>
      </c>
      <c r="P146" s="214">
        <f>'конкурсная документация'!P62</f>
        <v>1</v>
      </c>
      <c r="Q146" s="214">
        <f>'конкурсная документация'!Q62</f>
        <v>1</v>
      </c>
      <c r="R146" s="214">
        <f>'конкурсная документация'!R62</f>
        <v>1</v>
      </c>
      <c r="S146" s="214">
        <f>'конкурсная документация'!S62</f>
        <v>1</v>
      </c>
      <c r="T146" s="214">
        <f>'конкурсная документация'!T62</f>
        <v>1</v>
      </c>
      <c r="U146" s="214">
        <f>'конкурсная документация'!U62</f>
        <v>1</v>
      </c>
      <c r="V146" s="214">
        <f>'конкурсная документация'!V62</f>
        <v>1</v>
      </c>
      <c r="W146" s="214">
        <f>'конкурсная документация'!W62</f>
        <v>1</v>
      </c>
      <c r="X146" s="214">
        <f>'конкурсная документация'!X62</f>
        <v>1</v>
      </c>
      <c r="Y146" s="214">
        <f>'конкурсная документация'!Y62</f>
        <v>1</v>
      </c>
      <c r="Z146" s="214">
        <f>'конкурсная документация'!Z62</f>
        <v>1</v>
      </c>
      <c r="AA146" s="214">
        <f>'конкурсная документация'!AA62</f>
        <v>1</v>
      </c>
      <c r="AB146" s="214">
        <f>'конкурсная документация'!AB62</f>
        <v>1</v>
      </c>
      <c r="AC146" s="214">
        <f>'конкурсная документация'!AC62</f>
        <v>1</v>
      </c>
      <c r="AD146" s="214">
        <f>'конкурсная документация'!AD62</f>
        <v>1</v>
      </c>
      <c r="AE146" s="214">
        <f>'конкурсная документация'!AE62</f>
        <v>1</v>
      </c>
      <c r="AF146" s="214">
        <f>'конкурсная документация'!AF62</f>
        <v>1</v>
      </c>
    </row>
    <row r="147" spans="1:32" s="170" customFormat="1" ht="45">
      <c r="A147" s="248" t="s">
        <v>253</v>
      </c>
      <c r="B147" s="237"/>
      <c r="C147" s="320">
        <f>'конкурсная документация'!C61</f>
        <v>0.5</v>
      </c>
      <c r="D147" s="320">
        <f>C147*(1+$C$86*D150)/D148</f>
        <v>0.42105263157894735</v>
      </c>
      <c r="E147" s="320">
        <f aca="true" t="shared" si="90" ref="E147:AF147">D147*(1+$C$86*E150)/E148</f>
        <v>0.42105263157894735</v>
      </c>
      <c r="F147" s="320">
        <f t="shared" si="90"/>
        <v>0.42105263157894735</v>
      </c>
      <c r="G147" s="320">
        <f t="shared" si="90"/>
        <v>0.42105263157894735</v>
      </c>
      <c r="H147" s="320">
        <f t="shared" si="90"/>
        <v>0.42105263157894735</v>
      </c>
      <c r="I147" s="320">
        <f t="shared" si="90"/>
        <v>0.42105263157894735</v>
      </c>
      <c r="J147" s="320">
        <f t="shared" si="90"/>
        <v>0.42105263157894735</v>
      </c>
      <c r="K147" s="320">
        <f t="shared" si="90"/>
        <v>0.42105263157894735</v>
      </c>
      <c r="L147" s="320">
        <f t="shared" si="90"/>
        <v>0.42105263157894735</v>
      </c>
      <c r="M147" s="320">
        <f t="shared" si="90"/>
        <v>0.42105263157894735</v>
      </c>
      <c r="N147" s="320">
        <f t="shared" si="90"/>
        <v>0.42105263157894735</v>
      </c>
      <c r="O147" s="320">
        <f t="shared" si="90"/>
        <v>0.42105263157894735</v>
      </c>
      <c r="P147" s="320">
        <f t="shared" si="90"/>
        <v>0.42105263157894735</v>
      </c>
      <c r="Q147" s="320">
        <f t="shared" si="90"/>
        <v>0.42105263157894735</v>
      </c>
      <c r="R147" s="320">
        <f t="shared" si="90"/>
        <v>0.42105263157894735</v>
      </c>
      <c r="S147" s="320">
        <f t="shared" si="90"/>
        <v>0.42105263157894735</v>
      </c>
      <c r="T147" s="320">
        <f t="shared" si="90"/>
        <v>0.42105263157894735</v>
      </c>
      <c r="U147" s="320">
        <f t="shared" si="90"/>
        <v>0.42105263157894735</v>
      </c>
      <c r="V147" s="320">
        <f t="shared" si="90"/>
        <v>0.42105263157894735</v>
      </c>
      <c r="W147" s="320">
        <f t="shared" si="90"/>
        <v>0.42105263157894735</v>
      </c>
      <c r="X147" s="320">
        <f t="shared" si="90"/>
        <v>0.42105263157894735</v>
      </c>
      <c r="Y147" s="320">
        <f t="shared" si="90"/>
        <v>0.42105263157894735</v>
      </c>
      <c r="Z147" s="320">
        <f t="shared" si="90"/>
        <v>0.42105263157894735</v>
      </c>
      <c r="AA147" s="320">
        <f t="shared" si="90"/>
        <v>0.42105263157894735</v>
      </c>
      <c r="AB147" s="320">
        <f t="shared" si="90"/>
        <v>0.42105263157894735</v>
      </c>
      <c r="AC147" s="320">
        <f t="shared" si="90"/>
        <v>0.42105263157894735</v>
      </c>
      <c r="AD147" s="320">
        <f t="shared" si="90"/>
        <v>0.42105263157894735</v>
      </c>
      <c r="AE147" s="320">
        <f t="shared" si="90"/>
        <v>0.42105263157894735</v>
      </c>
      <c r="AF147" s="320">
        <f t="shared" si="90"/>
        <v>0.42105263157894735</v>
      </c>
    </row>
    <row r="148" spans="1:32" s="170" customFormat="1" ht="15">
      <c r="A148" s="248" t="s">
        <v>256</v>
      </c>
      <c r="B148" s="237"/>
      <c r="C148" s="238"/>
      <c r="D148" s="238">
        <f aca="true" t="shared" si="91" ref="D148:AF148">(1+$C$144*D150)*C147+(1+$C$144*D152)*(1-C147)</f>
        <v>1.1875</v>
      </c>
      <c r="E148" s="238">
        <f t="shared" si="91"/>
        <v>1</v>
      </c>
      <c r="F148" s="238">
        <f t="shared" si="91"/>
        <v>1</v>
      </c>
      <c r="G148" s="238">
        <f t="shared" si="91"/>
        <v>1</v>
      </c>
      <c r="H148" s="238">
        <f t="shared" si="91"/>
        <v>1</v>
      </c>
      <c r="I148" s="238">
        <f t="shared" si="91"/>
        <v>1</v>
      </c>
      <c r="J148" s="238">
        <f t="shared" si="91"/>
        <v>1</v>
      </c>
      <c r="K148" s="238">
        <f t="shared" si="91"/>
        <v>1</v>
      </c>
      <c r="L148" s="238">
        <f t="shared" si="91"/>
        <v>1</v>
      </c>
      <c r="M148" s="238">
        <f t="shared" si="91"/>
        <v>1</v>
      </c>
      <c r="N148" s="238">
        <f t="shared" si="91"/>
        <v>1</v>
      </c>
      <c r="O148" s="238">
        <f t="shared" si="91"/>
        <v>1</v>
      </c>
      <c r="P148" s="238">
        <f t="shared" si="91"/>
        <v>1</v>
      </c>
      <c r="Q148" s="238">
        <f t="shared" si="91"/>
        <v>1</v>
      </c>
      <c r="R148" s="238">
        <f t="shared" si="91"/>
        <v>1</v>
      </c>
      <c r="S148" s="238">
        <f t="shared" si="91"/>
        <v>1</v>
      </c>
      <c r="T148" s="238">
        <f t="shared" si="91"/>
        <v>1</v>
      </c>
      <c r="U148" s="238">
        <f t="shared" si="91"/>
        <v>1</v>
      </c>
      <c r="V148" s="238">
        <f t="shared" si="91"/>
        <v>1</v>
      </c>
      <c r="W148" s="238">
        <f t="shared" si="91"/>
        <v>1</v>
      </c>
      <c r="X148" s="238">
        <f t="shared" si="91"/>
        <v>1</v>
      </c>
      <c r="Y148" s="238">
        <f t="shared" si="91"/>
        <v>1</v>
      </c>
      <c r="Z148" s="238">
        <f t="shared" si="91"/>
        <v>1</v>
      </c>
      <c r="AA148" s="238">
        <f t="shared" si="91"/>
        <v>1</v>
      </c>
      <c r="AB148" s="238">
        <f t="shared" si="91"/>
        <v>1</v>
      </c>
      <c r="AC148" s="238">
        <f t="shared" si="91"/>
        <v>1</v>
      </c>
      <c r="AD148" s="238">
        <f t="shared" si="91"/>
        <v>1</v>
      </c>
      <c r="AE148" s="238">
        <f t="shared" si="91"/>
        <v>1</v>
      </c>
      <c r="AF148" s="238">
        <f t="shared" si="91"/>
        <v>1</v>
      </c>
    </row>
    <row r="149" spans="1:32" s="170" customFormat="1" ht="47.25" customHeight="1">
      <c r="A149" s="248" t="s">
        <v>252</v>
      </c>
      <c r="B149" s="321"/>
      <c r="C149" s="321">
        <f>'конкурсная документация'!C62</f>
        <v>1</v>
      </c>
      <c r="D149" s="321">
        <f>'конкурсная документация'!D62</f>
        <v>1</v>
      </c>
      <c r="E149" s="321">
        <f>'конкурсная документация'!E62</f>
        <v>1</v>
      </c>
      <c r="F149" s="321">
        <f>'конкурсная документация'!F62</f>
        <v>1</v>
      </c>
      <c r="G149" s="321">
        <f>'конкурсная документация'!G62</f>
        <v>1</v>
      </c>
      <c r="H149" s="321">
        <f>'конкурсная документация'!H62</f>
        <v>1</v>
      </c>
      <c r="I149" s="321">
        <f>'конкурсная документация'!I62</f>
        <v>1</v>
      </c>
      <c r="J149" s="321">
        <f>'конкурсная документация'!J62</f>
        <v>1</v>
      </c>
      <c r="K149" s="321">
        <f>'конкурсная документация'!K62</f>
        <v>1</v>
      </c>
      <c r="L149" s="321">
        <f>'конкурсная документация'!L62</f>
        <v>1</v>
      </c>
      <c r="M149" s="321">
        <f>'конкурсная документация'!M62</f>
        <v>1</v>
      </c>
      <c r="N149" s="321">
        <f>'конкурсная документация'!N62</f>
        <v>1</v>
      </c>
      <c r="O149" s="321">
        <f>'конкурсная документация'!O62</f>
        <v>1</v>
      </c>
      <c r="P149" s="321">
        <f>'конкурсная документация'!P62</f>
        <v>1</v>
      </c>
      <c r="Q149" s="321">
        <f>'конкурсная документация'!Q62</f>
        <v>1</v>
      </c>
      <c r="R149" s="321">
        <f>'конкурсная документация'!R62</f>
        <v>1</v>
      </c>
      <c r="S149" s="321">
        <f>'конкурсная документация'!S62</f>
        <v>1</v>
      </c>
      <c r="T149" s="321">
        <f>'конкурсная документация'!T62</f>
        <v>1</v>
      </c>
      <c r="U149" s="321">
        <f>'конкурсная документация'!U62</f>
        <v>1</v>
      </c>
      <c r="V149" s="321">
        <f>'конкурсная документация'!V62</f>
        <v>1</v>
      </c>
      <c r="W149" s="321">
        <f>'конкурсная документация'!W62</f>
        <v>1</v>
      </c>
      <c r="X149" s="321">
        <f>'конкурсная документация'!X62</f>
        <v>1</v>
      </c>
      <c r="Y149" s="321">
        <f>'конкурсная документация'!Y62</f>
        <v>1</v>
      </c>
      <c r="Z149" s="321">
        <f>'конкурсная документация'!Z62</f>
        <v>1</v>
      </c>
      <c r="AA149" s="321">
        <f>'конкурсная документация'!AA62</f>
        <v>1</v>
      </c>
      <c r="AB149" s="321">
        <f>'конкурсная документация'!AB62</f>
        <v>1</v>
      </c>
      <c r="AC149" s="321">
        <f>'конкурсная документация'!AC62</f>
        <v>1</v>
      </c>
      <c r="AD149" s="321">
        <f>'конкурсная документация'!AD62</f>
        <v>1</v>
      </c>
      <c r="AE149" s="321">
        <f>'конкурсная документация'!AE62</f>
        <v>1</v>
      </c>
      <c r="AF149" s="321">
        <f>'конкурсная документация'!AF62</f>
        <v>1</v>
      </c>
    </row>
    <row r="150" spans="1:32" s="170" customFormat="1" ht="22.5" customHeight="1">
      <c r="A150" s="248" t="s">
        <v>254</v>
      </c>
      <c r="B150" s="321"/>
      <c r="C150" s="321"/>
      <c r="D150" s="321">
        <f>(D149-C149)/C149</f>
        <v>0</v>
      </c>
      <c r="E150" s="321">
        <f aca="true" t="shared" si="92" ref="E150:AF150">(E149-D149)/D149</f>
        <v>0</v>
      </c>
      <c r="F150" s="321">
        <f t="shared" si="92"/>
        <v>0</v>
      </c>
      <c r="G150" s="321">
        <f t="shared" si="92"/>
        <v>0</v>
      </c>
      <c r="H150" s="321">
        <f t="shared" si="92"/>
        <v>0</v>
      </c>
      <c r="I150" s="321">
        <f t="shared" si="92"/>
        <v>0</v>
      </c>
      <c r="J150" s="321">
        <f t="shared" si="92"/>
        <v>0</v>
      </c>
      <c r="K150" s="321">
        <f t="shared" si="92"/>
        <v>0</v>
      </c>
      <c r="L150" s="321">
        <f t="shared" si="92"/>
        <v>0</v>
      </c>
      <c r="M150" s="321">
        <f t="shared" si="92"/>
        <v>0</v>
      </c>
      <c r="N150" s="321">
        <f t="shared" si="92"/>
        <v>0</v>
      </c>
      <c r="O150" s="321">
        <f t="shared" si="92"/>
        <v>0</v>
      </c>
      <c r="P150" s="321">
        <f t="shared" si="92"/>
        <v>0</v>
      </c>
      <c r="Q150" s="321">
        <f t="shared" si="92"/>
        <v>0</v>
      </c>
      <c r="R150" s="321">
        <f t="shared" si="92"/>
        <v>0</v>
      </c>
      <c r="S150" s="321">
        <f t="shared" si="92"/>
        <v>0</v>
      </c>
      <c r="T150" s="321">
        <f t="shared" si="92"/>
        <v>0</v>
      </c>
      <c r="U150" s="321">
        <f t="shared" si="92"/>
        <v>0</v>
      </c>
      <c r="V150" s="321">
        <f t="shared" si="92"/>
        <v>0</v>
      </c>
      <c r="W150" s="321">
        <f t="shared" si="92"/>
        <v>0</v>
      </c>
      <c r="X150" s="321">
        <f t="shared" si="92"/>
        <v>0</v>
      </c>
      <c r="Y150" s="321">
        <f t="shared" si="92"/>
        <v>0</v>
      </c>
      <c r="Z150" s="321">
        <f t="shared" si="92"/>
        <v>0</v>
      </c>
      <c r="AA150" s="321">
        <f t="shared" si="92"/>
        <v>0</v>
      </c>
      <c r="AB150" s="321">
        <f t="shared" si="92"/>
        <v>0</v>
      </c>
      <c r="AC150" s="321">
        <f t="shared" si="92"/>
        <v>0</v>
      </c>
      <c r="AD150" s="321">
        <f t="shared" si="92"/>
        <v>0</v>
      </c>
      <c r="AE150" s="321">
        <f t="shared" si="92"/>
        <v>0</v>
      </c>
      <c r="AF150" s="321">
        <f t="shared" si="92"/>
        <v>0</v>
      </c>
    </row>
    <row r="151" spans="1:256" s="170" customFormat="1" ht="45" customHeight="1">
      <c r="A151" s="248" t="s">
        <v>251</v>
      </c>
      <c r="B151" s="321"/>
      <c r="C151" s="321">
        <f>'конкурсная документация'!C63</f>
        <v>2</v>
      </c>
      <c r="D151" s="321">
        <f>'конкурсная документация'!D63</f>
        <v>3</v>
      </c>
      <c r="E151" s="321">
        <f>'конкурсная документация'!E63</f>
        <v>3</v>
      </c>
      <c r="F151" s="321">
        <f>'конкурсная документация'!F63</f>
        <v>3</v>
      </c>
      <c r="G151" s="321">
        <f>'конкурсная документация'!G63</f>
        <v>3</v>
      </c>
      <c r="H151" s="321">
        <f>'конкурсная документация'!H63</f>
        <v>3</v>
      </c>
      <c r="I151" s="321">
        <f>'конкурсная документация'!I63</f>
        <v>3</v>
      </c>
      <c r="J151" s="321">
        <f>'конкурсная документация'!J63</f>
        <v>3</v>
      </c>
      <c r="K151" s="321">
        <f>'конкурсная документация'!K63</f>
        <v>3</v>
      </c>
      <c r="L151" s="321">
        <f>'конкурсная документация'!L63</f>
        <v>3</v>
      </c>
      <c r="M151" s="321">
        <f>'конкурсная документация'!M63</f>
        <v>3</v>
      </c>
      <c r="N151" s="321">
        <f>'конкурсная документация'!N63</f>
        <v>3</v>
      </c>
      <c r="O151" s="321">
        <f>'конкурсная документация'!O63</f>
        <v>3</v>
      </c>
      <c r="P151" s="321">
        <f>'конкурсная документация'!P63</f>
        <v>3</v>
      </c>
      <c r="Q151" s="321">
        <f>'конкурсная документация'!Q63</f>
        <v>3</v>
      </c>
      <c r="R151" s="321">
        <f>'конкурсная документация'!R63</f>
        <v>3</v>
      </c>
      <c r="S151" s="321">
        <f>'конкурсная документация'!S63</f>
        <v>3</v>
      </c>
      <c r="T151" s="321">
        <f>'конкурсная документация'!T63</f>
        <v>3</v>
      </c>
      <c r="U151" s="321">
        <f>'конкурсная документация'!U63</f>
        <v>3</v>
      </c>
      <c r="V151" s="321">
        <f>'конкурсная документация'!V63</f>
        <v>3</v>
      </c>
      <c r="W151" s="321">
        <f>'конкурсная документация'!W63</f>
        <v>3</v>
      </c>
      <c r="X151" s="321">
        <f>'конкурсная документация'!X63</f>
        <v>3</v>
      </c>
      <c r="Y151" s="321">
        <f>'конкурсная документация'!Y63</f>
        <v>3</v>
      </c>
      <c r="Z151" s="321">
        <f>'конкурсная документация'!Z63</f>
        <v>3</v>
      </c>
      <c r="AA151" s="321">
        <f>'конкурсная документация'!AA63</f>
        <v>3</v>
      </c>
      <c r="AB151" s="321">
        <f>'конкурсная документация'!AB63</f>
        <v>3</v>
      </c>
      <c r="AC151" s="321">
        <f>'конкурсная документация'!AC63</f>
        <v>3</v>
      </c>
      <c r="AD151" s="321">
        <f>'конкурсная документация'!AD63</f>
        <v>3</v>
      </c>
      <c r="AE151" s="321">
        <f>'конкурсная документация'!AE63</f>
        <v>3</v>
      </c>
      <c r="AF151" s="321">
        <f>'конкурсная документация'!AF63</f>
        <v>3</v>
      </c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82"/>
      <c r="CI151" s="182"/>
      <c r="CJ151" s="182"/>
      <c r="CK151" s="182"/>
      <c r="CL151" s="182"/>
      <c r="CM151" s="182"/>
      <c r="CN151" s="182"/>
      <c r="CO151" s="182"/>
      <c r="CP151" s="182"/>
      <c r="CQ151" s="182"/>
      <c r="CR151" s="182"/>
      <c r="CS151" s="182"/>
      <c r="CT151" s="182"/>
      <c r="CU151" s="182"/>
      <c r="CV151" s="182"/>
      <c r="CW151" s="182"/>
      <c r="CX151" s="182"/>
      <c r="CY151" s="182"/>
      <c r="CZ151" s="182"/>
      <c r="DA151" s="182"/>
      <c r="DB151" s="182"/>
      <c r="DC151" s="182"/>
      <c r="DD151" s="182"/>
      <c r="DE151" s="182"/>
      <c r="DF151" s="182"/>
      <c r="DG151" s="182"/>
      <c r="DH151" s="182"/>
      <c r="DI151" s="182"/>
      <c r="DJ151" s="182"/>
      <c r="DK151" s="182"/>
      <c r="DL151" s="182"/>
      <c r="DM151" s="182"/>
      <c r="DN151" s="182"/>
      <c r="DO151" s="182"/>
      <c r="DP151" s="182"/>
      <c r="DQ151" s="182"/>
      <c r="DR151" s="182"/>
      <c r="DS151" s="182"/>
      <c r="DT151" s="182"/>
      <c r="DU151" s="182"/>
      <c r="DV151" s="182"/>
      <c r="DW151" s="182"/>
      <c r="DX151" s="182"/>
      <c r="DY151" s="182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2"/>
      <c r="EY151" s="182"/>
      <c r="EZ151" s="182"/>
      <c r="FA151" s="182"/>
      <c r="FB151" s="182"/>
      <c r="FC151" s="182"/>
      <c r="FD151" s="182"/>
      <c r="FE151" s="182"/>
      <c r="FF151" s="182"/>
      <c r="FG151" s="182"/>
      <c r="FH151" s="182"/>
      <c r="FI151" s="182"/>
      <c r="FJ151" s="182"/>
      <c r="FK151" s="182"/>
      <c r="FL151" s="182"/>
      <c r="FM151" s="182"/>
      <c r="FN151" s="182"/>
      <c r="FO151" s="182"/>
      <c r="FP151" s="182"/>
      <c r="FQ151" s="182"/>
      <c r="FR151" s="182"/>
      <c r="FS151" s="182"/>
      <c r="FT151" s="182"/>
      <c r="FU151" s="182"/>
      <c r="FV151" s="182"/>
      <c r="FW151" s="182"/>
      <c r="FX151" s="182"/>
      <c r="FY151" s="182"/>
      <c r="FZ151" s="182"/>
      <c r="GA151" s="182"/>
      <c r="GB151" s="182"/>
      <c r="GC151" s="182"/>
      <c r="GD151" s="182"/>
      <c r="GE151" s="182"/>
      <c r="GF151" s="182"/>
      <c r="GG151" s="182"/>
      <c r="GH151" s="182"/>
      <c r="GI151" s="182"/>
      <c r="GJ151" s="182"/>
      <c r="GK151" s="182"/>
      <c r="GL151" s="182"/>
      <c r="GM151" s="182"/>
      <c r="GN151" s="182"/>
      <c r="GO151" s="182"/>
      <c r="GP151" s="182"/>
      <c r="GQ151" s="182"/>
      <c r="GR151" s="182"/>
      <c r="GS151" s="182"/>
      <c r="GT151" s="182"/>
      <c r="GU151" s="182"/>
      <c r="GV151" s="182"/>
      <c r="GW151" s="182"/>
      <c r="GX151" s="182"/>
      <c r="GY151" s="182"/>
      <c r="GZ151" s="182"/>
      <c r="HA151" s="182"/>
      <c r="HB151" s="182"/>
      <c r="HC151" s="182"/>
      <c r="HD151" s="182"/>
      <c r="HE151" s="182"/>
      <c r="HF151" s="182"/>
      <c r="HG151" s="182"/>
      <c r="HH151" s="182"/>
      <c r="HI151" s="182"/>
      <c r="HJ151" s="182"/>
      <c r="HK151" s="182"/>
      <c r="HL151" s="182"/>
      <c r="HM151" s="182"/>
      <c r="HN151" s="182"/>
      <c r="HO151" s="182"/>
      <c r="HP151" s="182"/>
      <c r="HQ151" s="182"/>
      <c r="HR151" s="182"/>
      <c r="HS151" s="182"/>
      <c r="HT151" s="182"/>
      <c r="HU151" s="182"/>
      <c r="HV151" s="182"/>
      <c r="HW151" s="182"/>
      <c r="HX151" s="182"/>
      <c r="HY151" s="182"/>
      <c r="HZ151" s="182"/>
      <c r="IA151" s="182"/>
      <c r="IB151" s="182"/>
      <c r="IC151" s="182"/>
      <c r="ID151" s="182"/>
      <c r="IE151" s="182"/>
      <c r="IF151" s="182"/>
      <c r="IG151" s="182"/>
      <c r="IH151" s="182"/>
      <c r="II151" s="182"/>
      <c r="IJ151" s="182"/>
      <c r="IK151" s="182"/>
      <c r="IL151" s="182"/>
      <c r="IM151" s="182"/>
      <c r="IN151" s="182"/>
      <c r="IO151" s="182"/>
      <c r="IP151" s="182"/>
      <c r="IQ151" s="182"/>
      <c r="IR151" s="182"/>
      <c r="IS151" s="182"/>
      <c r="IT151" s="182"/>
      <c r="IU151" s="182"/>
      <c r="IV151" s="182"/>
    </row>
    <row r="152" spans="1:256" s="170" customFormat="1" ht="30.75" customHeight="1">
      <c r="A152" s="248" t="s">
        <v>255</v>
      </c>
      <c r="B152" s="321"/>
      <c r="C152" s="321"/>
      <c r="D152" s="321">
        <f aca="true" t="shared" si="93" ref="D152:AF152">(D151-C151)/C151</f>
        <v>0.5</v>
      </c>
      <c r="E152" s="321">
        <f t="shared" si="93"/>
        <v>0</v>
      </c>
      <c r="F152" s="321">
        <f t="shared" si="93"/>
        <v>0</v>
      </c>
      <c r="G152" s="321">
        <f t="shared" si="93"/>
        <v>0</v>
      </c>
      <c r="H152" s="321">
        <f t="shared" si="93"/>
        <v>0</v>
      </c>
      <c r="I152" s="321">
        <f t="shared" si="93"/>
        <v>0</v>
      </c>
      <c r="J152" s="321">
        <f t="shared" si="93"/>
        <v>0</v>
      </c>
      <c r="K152" s="321">
        <f t="shared" si="93"/>
        <v>0</v>
      </c>
      <c r="L152" s="321">
        <f t="shared" si="93"/>
        <v>0</v>
      </c>
      <c r="M152" s="321">
        <f t="shared" si="93"/>
        <v>0</v>
      </c>
      <c r="N152" s="321">
        <f t="shared" si="93"/>
        <v>0</v>
      </c>
      <c r="O152" s="321">
        <f t="shared" si="93"/>
        <v>0</v>
      </c>
      <c r="P152" s="321">
        <f t="shared" si="93"/>
        <v>0</v>
      </c>
      <c r="Q152" s="321">
        <f t="shared" si="93"/>
        <v>0</v>
      </c>
      <c r="R152" s="321">
        <f t="shared" si="93"/>
        <v>0</v>
      </c>
      <c r="S152" s="321">
        <f t="shared" si="93"/>
        <v>0</v>
      </c>
      <c r="T152" s="321">
        <f t="shared" si="93"/>
        <v>0</v>
      </c>
      <c r="U152" s="321">
        <f t="shared" si="93"/>
        <v>0</v>
      </c>
      <c r="V152" s="321">
        <f t="shared" si="93"/>
        <v>0</v>
      </c>
      <c r="W152" s="321">
        <f t="shared" si="93"/>
        <v>0</v>
      </c>
      <c r="X152" s="321">
        <f t="shared" si="93"/>
        <v>0</v>
      </c>
      <c r="Y152" s="321">
        <f t="shared" si="93"/>
        <v>0</v>
      </c>
      <c r="Z152" s="321">
        <f t="shared" si="93"/>
        <v>0</v>
      </c>
      <c r="AA152" s="321">
        <f t="shared" si="93"/>
        <v>0</v>
      </c>
      <c r="AB152" s="321">
        <f t="shared" si="93"/>
        <v>0</v>
      </c>
      <c r="AC152" s="321">
        <f t="shared" si="93"/>
        <v>0</v>
      </c>
      <c r="AD152" s="321">
        <f t="shared" si="93"/>
        <v>0</v>
      </c>
      <c r="AE152" s="321">
        <f t="shared" si="93"/>
        <v>0</v>
      </c>
      <c r="AF152" s="321">
        <f t="shared" si="93"/>
        <v>0</v>
      </c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  <c r="IT152" s="165"/>
      <c r="IU152" s="165"/>
      <c r="IV152" s="165"/>
    </row>
    <row r="153" spans="1:32" s="16" customFormat="1" ht="20.25" customHeight="1">
      <c r="A153" s="212" t="s">
        <v>61</v>
      </c>
      <c r="B153" s="213"/>
      <c r="C153" s="214">
        <f aca="true" t="shared" si="94" ref="C153:AF153">SUM(C154,C157,C160,)</f>
        <v>12.687777777777779</v>
      </c>
      <c r="D153" s="214">
        <f t="shared" si="94"/>
        <v>12.22338</v>
      </c>
      <c r="E153" s="214">
        <f t="shared" si="94"/>
        <v>13.084470600000001</v>
      </c>
      <c r="F153" s="214">
        <f t="shared" si="94"/>
        <v>14.000383542000003</v>
      </c>
      <c r="G153" s="214">
        <f t="shared" si="94"/>
        <v>14.974107747540005</v>
      </c>
      <c r="H153" s="214">
        <f t="shared" si="94"/>
        <v>16.015614488923806</v>
      </c>
      <c r="I153" s="214">
        <f t="shared" si="94"/>
        <v>17.129625854147832</v>
      </c>
      <c r="J153" s="214">
        <f t="shared" si="94"/>
        <v>18.321193115997502</v>
      </c>
      <c r="K153" s="214">
        <f t="shared" si="94"/>
        <v>19.595719693300214</v>
      </c>
      <c r="L153" s="214">
        <f t="shared" si="94"/>
        <v>20.95898571456508</v>
      </c>
      <c r="M153" s="214">
        <f t="shared" si="94"/>
        <v>22.417174295882525</v>
      </c>
      <c r="N153" s="214">
        <f t="shared" si="94"/>
        <v>23.976899652770058</v>
      </c>
      <c r="O153" s="214">
        <f t="shared" si="94"/>
        <v>25.64523717401027</v>
      </c>
      <c r="P153" s="214">
        <f t="shared" si="94"/>
        <v>27.42975559447007</v>
      </c>
      <c r="Q153" s="214">
        <f t="shared" si="94"/>
        <v>29.3385514134588</v>
      </c>
      <c r="R153" s="214">
        <f t="shared" si="94"/>
        <v>31.3802857154193</v>
      </c>
      <c r="S153" s="214">
        <f t="shared" si="94"/>
        <v>33.56422356069813</v>
      </c>
      <c r="T153" s="214">
        <f t="shared" si="94"/>
        <v>35.900276125858454</v>
      </c>
      <c r="U153" s="214">
        <f t="shared" si="94"/>
        <v>38.39904578553468</v>
      </c>
      <c r="V153" s="214">
        <f t="shared" si="94"/>
        <v>41.07187434124022</v>
      </c>
      <c r="W153" s="214">
        <f t="shared" si="94"/>
        <v>43.93089461688823</v>
      </c>
      <c r="X153" s="214">
        <f t="shared" si="94"/>
        <v>46.98908565613726</v>
      </c>
      <c r="Y153" s="214">
        <f t="shared" si="94"/>
        <v>50.260331773097754</v>
      </c>
      <c r="Z153" s="214">
        <f t="shared" si="94"/>
        <v>53.75948572550732</v>
      </c>
      <c r="AA153" s="214">
        <f t="shared" si="94"/>
        <v>57.50243629828313</v>
      </c>
      <c r="AB153" s="214">
        <f t="shared" si="94"/>
        <v>61.506180605472665</v>
      </c>
      <c r="AC153" s="214">
        <f t="shared" si="94"/>
        <v>65.78890144014403</v>
      </c>
      <c r="AD153" s="214">
        <f t="shared" si="94"/>
        <v>70.37005002477972</v>
      </c>
      <c r="AE153" s="214">
        <f t="shared" si="94"/>
        <v>75.2704345393694</v>
      </c>
      <c r="AF153" s="214">
        <f t="shared" si="94"/>
        <v>80.5123148307517</v>
      </c>
    </row>
    <row r="154" spans="1:32" s="16" customFormat="1" ht="14.25" customHeight="1">
      <c r="A154" s="215" t="s">
        <v>19</v>
      </c>
      <c r="B154" s="216"/>
      <c r="C154" s="195">
        <f>C155*C156/1000</f>
        <v>0</v>
      </c>
      <c r="D154" s="195">
        <f aca="true" t="shared" si="95" ref="D154:AF154">D155*D156/1000</f>
        <v>0</v>
      </c>
      <c r="E154" s="195">
        <f t="shared" si="95"/>
        <v>0</v>
      </c>
      <c r="F154" s="195">
        <f t="shared" si="95"/>
        <v>0</v>
      </c>
      <c r="G154" s="195">
        <f t="shared" si="95"/>
        <v>0</v>
      </c>
      <c r="H154" s="195">
        <f t="shared" si="95"/>
        <v>0</v>
      </c>
      <c r="I154" s="195">
        <f t="shared" si="95"/>
        <v>0</v>
      </c>
      <c r="J154" s="195">
        <f t="shared" si="95"/>
        <v>0</v>
      </c>
      <c r="K154" s="195">
        <f t="shared" si="95"/>
        <v>0</v>
      </c>
      <c r="L154" s="195">
        <f t="shared" si="95"/>
        <v>0</v>
      </c>
      <c r="M154" s="195">
        <f t="shared" si="95"/>
        <v>0</v>
      </c>
      <c r="N154" s="195">
        <f t="shared" si="95"/>
        <v>0</v>
      </c>
      <c r="O154" s="195">
        <f t="shared" si="95"/>
        <v>0</v>
      </c>
      <c r="P154" s="195">
        <f t="shared" si="95"/>
        <v>0</v>
      </c>
      <c r="Q154" s="195">
        <f t="shared" si="95"/>
        <v>0</v>
      </c>
      <c r="R154" s="195">
        <f t="shared" si="95"/>
        <v>0</v>
      </c>
      <c r="S154" s="195">
        <f t="shared" si="95"/>
        <v>0</v>
      </c>
      <c r="T154" s="195">
        <f t="shared" si="95"/>
        <v>0</v>
      </c>
      <c r="U154" s="195">
        <f t="shared" si="95"/>
        <v>0</v>
      </c>
      <c r="V154" s="195">
        <f t="shared" si="95"/>
        <v>0</v>
      </c>
      <c r="W154" s="195">
        <f t="shared" si="95"/>
        <v>0</v>
      </c>
      <c r="X154" s="195">
        <f t="shared" si="95"/>
        <v>0</v>
      </c>
      <c r="Y154" s="195">
        <f t="shared" si="95"/>
        <v>0</v>
      </c>
      <c r="Z154" s="195">
        <f t="shared" si="95"/>
        <v>0</v>
      </c>
      <c r="AA154" s="195">
        <f t="shared" si="95"/>
        <v>0</v>
      </c>
      <c r="AB154" s="195">
        <f t="shared" si="95"/>
        <v>0</v>
      </c>
      <c r="AC154" s="195">
        <f t="shared" si="95"/>
        <v>0</v>
      </c>
      <c r="AD154" s="195">
        <f t="shared" si="95"/>
        <v>0</v>
      </c>
      <c r="AE154" s="195">
        <f t="shared" si="95"/>
        <v>0</v>
      </c>
      <c r="AF154" s="195">
        <f t="shared" si="95"/>
        <v>0</v>
      </c>
    </row>
    <row r="155" spans="1:32" s="170" customFormat="1" ht="30">
      <c r="A155" s="217" t="s">
        <v>101</v>
      </c>
      <c r="B155" s="218"/>
      <c r="C155" s="206">
        <f>'конкурсная документация'!C65/(1-'конкурсные предложения'!B26)*'конкурсные предложения'!B28</f>
        <v>0</v>
      </c>
      <c r="D155" s="206">
        <f>'конкурсная документация'!D65/(1-'конкурсные предложения'!C26)*'конкурсные предложения'!C28</f>
        <v>0</v>
      </c>
      <c r="E155" s="206">
        <f>'конкурсная документация'!E65/(1-'конкурсные предложения'!D26)*'конкурсные предложения'!D28</f>
        <v>0</v>
      </c>
      <c r="F155" s="206">
        <f>'конкурсная документация'!F65/(1-'конкурсные предложения'!E26)*'конкурсные предложения'!E28</f>
        <v>0</v>
      </c>
      <c r="G155" s="206">
        <f>'конкурсная документация'!G65/(1-'конкурсные предложения'!F26)*'конкурсные предложения'!F28</f>
        <v>0</v>
      </c>
      <c r="H155" s="206">
        <f>'конкурсная документация'!H65/(1-'конкурсные предложения'!G26)*'конкурсные предложения'!G28</f>
        <v>0</v>
      </c>
      <c r="I155" s="206">
        <f>'конкурсная документация'!I65/(1-'конкурсные предложения'!H26)*'конкурсные предложения'!H28</f>
        <v>0</v>
      </c>
      <c r="J155" s="206">
        <f>'конкурсная документация'!J65/(1-'конкурсные предложения'!I26)*'конкурсные предложения'!I28</f>
        <v>0</v>
      </c>
      <c r="K155" s="206">
        <f>'конкурсная документация'!K65/(1-'конкурсные предложения'!J26)*'конкурсные предложения'!J28</f>
        <v>0</v>
      </c>
      <c r="L155" s="206">
        <f>'конкурсная документация'!L65/(1-'конкурсные предложения'!K26)*'конкурсные предложения'!K28</f>
        <v>0</v>
      </c>
      <c r="M155" s="206">
        <f>'конкурсная документация'!M65/(1-'конкурсные предложения'!L26)*'конкурсные предложения'!L28</f>
        <v>0</v>
      </c>
      <c r="N155" s="206">
        <f>'конкурсная документация'!N65/(1-'конкурсные предложения'!M26)*'конкурсные предложения'!M28</f>
        <v>0</v>
      </c>
      <c r="O155" s="206">
        <f>'конкурсная документация'!O65/(1-'конкурсные предложения'!N26)*'конкурсные предложения'!N28</f>
        <v>0</v>
      </c>
      <c r="P155" s="206">
        <f>'конкурсная документация'!P65/(1-'конкурсные предложения'!O26)*'конкурсные предложения'!O28</f>
        <v>0</v>
      </c>
      <c r="Q155" s="206">
        <f>'конкурсная документация'!Q65/(1-'конкурсные предложения'!P26)*'конкурсные предложения'!P28</f>
        <v>0</v>
      </c>
      <c r="R155" s="206">
        <f>'конкурсная документация'!R65/(1-'конкурсные предложения'!Q26)*'конкурсные предложения'!Q28</f>
        <v>0</v>
      </c>
      <c r="S155" s="206">
        <f>'конкурсная документация'!S65/(1-'конкурсные предложения'!R26)*'конкурсные предложения'!R28</f>
        <v>0</v>
      </c>
      <c r="T155" s="206">
        <f>'конкурсная документация'!T65/(1-'конкурсные предложения'!S26)*'конкурсные предложения'!S28</f>
        <v>0</v>
      </c>
      <c r="U155" s="206">
        <f>'конкурсная документация'!U65/(1-'конкурсные предложения'!T26)*'конкурсные предложения'!T28</f>
        <v>0</v>
      </c>
      <c r="V155" s="206">
        <f>'конкурсная документация'!V65/(1-'конкурсные предложения'!U26)*'конкурсные предложения'!U28</f>
        <v>0</v>
      </c>
      <c r="W155" s="206">
        <f>'конкурсная документация'!W65/(1-'конкурсные предложения'!V26)*'конкурсные предложения'!V28</f>
        <v>0</v>
      </c>
      <c r="X155" s="206">
        <f>'конкурсная документация'!X65/(1-'конкурсные предложения'!W26)*'конкурсные предложения'!W28</f>
        <v>0</v>
      </c>
      <c r="Y155" s="206">
        <f>'конкурсная документация'!Y65/(1-'конкурсные предложения'!X26)*'конкурсные предложения'!X28</f>
        <v>0</v>
      </c>
      <c r="Z155" s="206">
        <f>'конкурсная документация'!Z65/(1-'конкурсные предложения'!Y26)*'конкурсные предложения'!Y28</f>
        <v>0</v>
      </c>
      <c r="AA155" s="206">
        <f>'конкурсная документация'!AA65/(1-'конкурсные предложения'!Z26)*'конкурсные предложения'!Z28</f>
        <v>0</v>
      </c>
      <c r="AB155" s="206">
        <f>'конкурсная документация'!AB65/(1-'конкурсные предложения'!AA26)*'конкурсные предложения'!AA28</f>
        <v>0</v>
      </c>
      <c r="AC155" s="206">
        <f>'конкурсная документация'!AC65/(1-'конкурсные предложения'!AB26)*'конкурсные предложения'!AB28</f>
        <v>0</v>
      </c>
      <c r="AD155" s="206">
        <f>'конкурсная документация'!AD65/(1-'конкурсные предложения'!AC26)*'конкурсные предложения'!AC28</f>
        <v>0</v>
      </c>
      <c r="AE155" s="206">
        <f>'конкурсная документация'!AE65/(1-'конкурсные предложения'!AD26)*'конкурсные предложения'!AD28</f>
        <v>0</v>
      </c>
      <c r="AF155" s="206">
        <f>'конкурсная документация'!AF65/(1-'конкурсные предложения'!AE26)*'конкурсные предложения'!AE28</f>
        <v>0</v>
      </c>
    </row>
    <row r="156" spans="1:32" s="170" customFormat="1" ht="15" customHeight="1">
      <c r="A156" s="217" t="s">
        <v>21</v>
      </c>
      <c r="B156" s="218"/>
      <c r="C156" s="206">
        <f>'конкурсная документация'!$B$15*C10</f>
        <v>4.2000816</v>
      </c>
      <c r="D156" s="206">
        <f>'конкурсная документация'!$B$15*D10</f>
        <v>4.557088535999999</v>
      </c>
      <c r="E156" s="206">
        <f>'конкурсная документация'!$B$15*E10</f>
        <v>4.903427264736</v>
      </c>
      <c r="F156" s="206">
        <f>'конкурсная документация'!$B$15*F10</f>
        <v>5.17311576429648</v>
      </c>
      <c r="G156" s="206">
        <f>'конкурсная документация'!$B$15*G10</f>
        <v>5.50936828897575</v>
      </c>
      <c r="H156" s="206">
        <f>'конкурсная документация'!$B$15*H10</f>
        <v>5.867477227759174</v>
      </c>
      <c r="I156" s="206">
        <f>'конкурсная документация'!$B$15*I10</f>
        <v>6.24886324756352</v>
      </c>
      <c r="J156" s="206">
        <f>'конкурсная документация'!$B$15*J10</f>
        <v>6.655039358655149</v>
      </c>
      <c r="K156" s="206">
        <f>'конкурсная документация'!$B$15*K10</f>
        <v>7.087616916967733</v>
      </c>
      <c r="L156" s="206">
        <f>'конкурсная документация'!$B$15*L10</f>
        <v>7.548312016570636</v>
      </c>
      <c r="M156" s="206">
        <f>'конкурсная документация'!$B$15*M10</f>
        <v>8.038952297647727</v>
      </c>
      <c r="N156" s="206">
        <f>'конкурсная документация'!$B$15*N10</f>
        <v>8.561484196994828</v>
      </c>
      <c r="O156" s="206">
        <f>'конкурсная документация'!$B$15*O10</f>
        <v>9.117980669799492</v>
      </c>
      <c r="P156" s="206">
        <f>'конкурсная документация'!$B$15*P10</f>
        <v>9.710649413336457</v>
      </c>
      <c r="Q156" s="206">
        <f>'конкурсная документация'!$B$15*Q10</f>
        <v>10.341841625203326</v>
      </c>
      <c r="R156" s="206">
        <f>'конкурсная документация'!$B$15*R10</f>
        <v>11.01406133084154</v>
      </c>
      <c r="S156" s="206">
        <f>'конкурсная документация'!$B$15*S10</f>
        <v>11.729975317346241</v>
      </c>
      <c r="T156" s="206">
        <f>'конкурсная документация'!$B$15*T10</f>
        <v>12.492423712973746</v>
      </c>
      <c r="U156" s="206">
        <f>'конкурсная документация'!$B$15*U10</f>
        <v>13.30443125431704</v>
      </c>
      <c r="V156" s="206">
        <f>'конкурсная документация'!$B$15*V10</f>
        <v>14.169219285847646</v>
      </c>
      <c r="W156" s="206">
        <f>'конкурсная документация'!$B$15*W10</f>
        <v>15.090218539427742</v>
      </c>
      <c r="X156" s="206">
        <f>'конкурсная документация'!$B$15*X10</f>
        <v>16.071082744490543</v>
      </c>
      <c r="Y156" s="206">
        <f>'конкурсная документация'!$B$15*Y10</f>
        <v>17.115703122882426</v>
      </c>
      <c r="Z156" s="206">
        <f>'конкурсная документация'!$B$15*Z10</f>
        <v>18.228223825869783</v>
      </c>
      <c r="AA156" s="206">
        <f>'конкурсная документация'!$B$15*AA10</f>
        <v>19.41305837455132</v>
      </c>
      <c r="AB156" s="206">
        <f>'конкурсная документация'!$B$15*AB10</f>
        <v>20.674907168897157</v>
      </c>
      <c r="AC156" s="206">
        <f>'конкурсная документация'!$B$15*AC10</f>
        <v>22.01877613487547</v>
      </c>
      <c r="AD156" s="206">
        <f>'конкурсная документация'!$B$15*AD10</f>
        <v>23.449996583642374</v>
      </c>
      <c r="AE156" s="206">
        <f>'конкурсная документация'!$B$15*AE10</f>
        <v>24.974246361579127</v>
      </c>
      <c r="AF156" s="206">
        <f>'конкурсная документация'!$B$15*AF10</f>
        <v>26.59757237508177</v>
      </c>
    </row>
    <row r="157" spans="1:32" s="16" customFormat="1" ht="15">
      <c r="A157" s="215" t="s">
        <v>62</v>
      </c>
      <c r="B157" s="216"/>
      <c r="C157" s="195">
        <f aca="true" t="shared" si="96" ref="C157:AF157">C158*C159/1000</f>
        <v>12.126666666666667</v>
      </c>
      <c r="D157" s="195">
        <f t="shared" si="96"/>
        <v>11.67798</v>
      </c>
      <c r="E157" s="195">
        <f t="shared" si="96"/>
        <v>12.495438600000002</v>
      </c>
      <c r="F157" s="195">
        <f t="shared" si="96"/>
        <v>13.370119302000003</v>
      </c>
      <c r="G157" s="195">
        <f t="shared" si="96"/>
        <v>14.306027653140005</v>
      </c>
      <c r="H157" s="195">
        <f t="shared" si="96"/>
        <v>15.307449588859805</v>
      </c>
      <c r="I157" s="195">
        <f t="shared" si="96"/>
        <v>16.37897106007999</v>
      </c>
      <c r="J157" s="195">
        <f t="shared" si="96"/>
        <v>17.52549903428559</v>
      </c>
      <c r="K157" s="195">
        <f t="shared" si="96"/>
        <v>18.75228396668559</v>
      </c>
      <c r="L157" s="195">
        <f t="shared" si="96"/>
        <v>20.06494384435358</v>
      </c>
      <c r="M157" s="195">
        <f t="shared" si="96"/>
        <v>21.469489913458332</v>
      </c>
      <c r="N157" s="195">
        <f t="shared" si="96"/>
        <v>22.972354207400414</v>
      </c>
      <c r="O157" s="195">
        <f t="shared" si="96"/>
        <v>24.580419001918447</v>
      </c>
      <c r="P157" s="195">
        <f t="shared" si="96"/>
        <v>26.301048332052737</v>
      </c>
      <c r="Q157" s="195">
        <f t="shared" si="96"/>
        <v>28.142121715296426</v>
      </c>
      <c r="R157" s="195">
        <f t="shared" si="96"/>
        <v>30.112070235367185</v>
      </c>
      <c r="S157" s="195">
        <f t="shared" si="96"/>
        <v>32.21991515184289</v>
      </c>
      <c r="T157" s="195">
        <f t="shared" si="96"/>
        <v>34.4753092124719</v>
      </c>
      <c r="U157" s="195">
        <f t="shared" si="96"/>
        <v>36.888580857344934</v>
      </c>
      <c r="V157" s="195">
        <f t="shared" si="96"/>
        <v>39.47078151735908</v>
      </c>
      <c r="W157" s="195">
        <f t="shared" si="96"/>
        <v>42.233736223574226</v>
      </c>
      <c r="X157" s="195">
        <f t="shared" si="96"/>
        <v>45.19009775922442</v>
      </c>
      <c r="Y157" s="195">
        <f t="shared" si="96"/>
        <v>48.35340460237014</v>
      </c>
      <c r="Z157" s="195">
        <f t="shared" si="96"/>
        <v>51.73814292453605</v>
      </c>
      <c r="AA157" s="195">
        <f t="shared" si="96"/>
        <v>55.35981292925358</v>
      </c>
      <c r="AB157" s="195">
        <f t="shared" si="96"/>
        <v>59.23499983430134</v>
      </c>
      <c r="AC157" s="195">
        <f t="shared" si="96"/>
        <v>63.381449822702436</v>
      </c>
      <c r="AD157" s="195">
        <f t="shared" si="96"/>
        <v>67.81815131029161</v>
      </c>
      <c r="AE157" s="195">
        <f t="shared" si="96"/>
        <v>72.56542190201202</v>
      </c>
      <c r="AF157" s="195">
        <f t="shared" si="96"/>
        <v>77.64500143515288</v>
      </c>
    </row>
    <row r="158" spans="1:32" s="170" customFormat="1" ht="30">
      <c r="A158" s="217" t="s">
        <v>243</v>
      </c>
      <c r="B158" s="218"/>
      <c r="C158" s="206">
        <f>'конкурсные предложения'!B27*'конкурсная документация'!C65/(1-'конкурсные предложения'!B26)*(1-'конкурсная документация'!C51)</f>
        <v>666.6666666666666</v>
      </c>
      <c r="D158" s="206">
        <f>'конкурсные предложения'!C27*'конкурсная документация'!D65/(1-'конкурсные предложения'!C26)*(1-'конкурсная документация'!D51)</f>
        <v>600</v>
      </c>
      <c r="E158" s="206">
        <f>'конкурсные предложения'!D27*'конкурсная документация'!E65/(1-'конкурсные предложения'!D26)*(1-'конкурсная документация'!E51)</f>
        <v>600</v>
      </c>
      <c r="F158" s="206">
        <f>'конкурсные предложения'!E27*'конкурсная документация'!F65/(1-'конкурсные предложения'!E26)*(1-'конкурсная документация'!F51)</f>
        <v>600</v>
      </c>
      <c r="G158" s="206">
        <f>'конкурсные предложения'!F27*'конкурсная документация'!G65/(1-'конкурсные предложения'!F26)*(1-'конкурсная документация'!G51)</f>
        <v>600</v>
      </c>
      <c r="H158" s="206">
        <f>'конкурсные предложения'!G27*'конкурсная документация'!H65/(1-'конкурсные предложения'!G26)*(1-'конкурсная документация'!H51)</f>
        <v>600</v>
      </c>
      <c r="I158" s="206">
        <f>'конкурсные предложения'!H27*'конкурсная документация'!I65/(1-'конкурсные предложения'!H26)*(1-'конкурсная документация'!I51)</f>
        <v>600</v>
      </c>
      <c r="J158" s="206">
        <f>'конкурсные предложения'!I27*'конкурсная документация'!J65/(1-'конкурсные предложения'!I26)*(1-'конкурсная документация'!J51)</f>
        <v>600</v>
      </c>
      <c r="K158" s="206">
        <f>'конкурсные предложения'!J27*'конкурсная документация'!K65/(1-'конкурсные предложения'!J26)*(1-'конкурсная документация'!K51)</f>
        <v>600</v>
      </c>
      <c r="L158" s="206">
        <f>'конкурсные предложения'!K27*'конкурсная документация'!L65/(1-'конкурсные предложения'!K26)*(1-'конкурсная документация'!L51)</f>
        <v>600</v>
      </c>
      <c r="M158" s="206">
        <f>'конкурсные предложения'!L27*'конкурсная документация'!M65/(1-'конкурсные предложения'!L26)*(1-'конкурсная документация'!M51)</f>
        <v>600</v>
      </c>
      <c r="N158" s="206">
        <f>'конкурсные предложения'!M27*'конкурсная документация'!N65/(1-'конкурсные предложения'!M26)*(1-'конкурсная документация'!N51)</f>
        <v>600</v>
      </c>
      <c r="O158" s="206">
        <f>'конкурсные предложения'!N27*'конкурсная документация'!O65/(1-'конкурсные предложения'!N26)*(1-'конкурсная документация'!O51)</f>
        <v>600</v>
      </c>
      <c r="P158" s="206">
        <f>'конкурсные предложения'!O27*'конкурсная документация'!P65/(1-'конкурсные предложения'!O26)*(1-'конкурсная документация'!P51)</f>
        <v>600</v>
      </c>
      <c r="Q158" s="206">
        <f>'конкурсные предложения'!P27*'конкурсная документация'!Q65/(1-'конкурсные предложения'!P26)*(1-'конкурсная документация'!Q51)</f>
        <v>600</v>
      </c>
      <c r="R158" s="206">
        <f>'конкурсные предложения'!Q27*'конкурсная документация'!R65/(1-'конкурсные предложения'!Q26)*(1-'конкурсная документация'!R51)</f>
        <v>600</v>
      </c>
      <c r="S158" s="206">
        <f>'конкурсные предложения'!R27*'конкурсная документация'!S65/(1-'конкурсные предложения'!R26)*(1-'конкурсная документация'!S51)</f>
        <v>600</v>
      </c>
      <c r="T158" s="206">
        <f>'конкурсные предложения'!S27*'конкурсная документация'!T65/(1-'конкурсные предложения'!S26)*(1-'конкурсная документация'!T51)</f>
        <v>600</v>
      </c>
      <c r="U158" s="206">
        <f>'конкурсные предложения'!T27*'конкурсная документация'!U65/(1-'конкурсные предложения'!T26)*(1-'конкурсная документация'!U51)</f>
        <v>600</v>
      </c>
      <c r="V158" s="206">
        <f>'конкурсные предложения'!U27*'конкурсная документация'!V65/(1-'конкурсные предложения'!U26)*(1-'конкурсная документация'!V51)</f>
        <v>600</v>
      </c>
      <c r="W158" s="206">
        <f>'конкурсные предложения'!V27*'конкурсная документация'!W65/(1-'конкурсные предложения'!V26)*(1-'конкурсная документация'!W51)</f>
        <v>600</v>
      </c>
      <c r="X158" s="206">
        <f>'конкурсные предложения'!W27*'конкурсная документация'!X65/(1-'конкурсные предложения'!W26)*(1-'конкурсная документация'!X51)</f>
        <v>600</v>
      </c>
      <c r="Y158" s="206">
        <f>'конкурсные предложения'!X27*'конкурсная документация'!Y65/(1-'конкурсные предложения'!X26)*(1-'конкурсная документация'!Y51)</f>
        <v>600</v>
      </c>
      <c r="Z158" s="206">
        <f>'конкурсные предложения'!Y27*'конкурсная документация'!Z65/(1-'конкурсные предложения'!Y26)*(1-'конкурсная документация'!Z51)</f>
        <v>600</v>
      </c>
      <c r="AA158" s="206">
        <f>'конкурсные предложения'!Z27*'конкурсная документация'!AA65/(1-'конкурсные предложения'!Z26)*(1-'конкурсная документация'!AA51)</f>
        <v>600</v>
      </c>
      <c r="AB158" s="206">
        <f>'конкурсные предложения'!AA27*'конкурсная документация'!AB65/(1-'конкурсные предложения'!AA26)*(1-'конкурсная документация'!AB51)</f>
        <v>600</v>
      </c>
      <c r="AC158" s="206">
        <f>'конкурсные предложения'!AB27*'конкурсная документация'!AC65/(1-'конкурсные предложения'!AB26)*(1-'конкурсная документация'!AC51)</f>
        <v>600</v>
      </c>
      <c r="AD158" s="206">
        <f>'конкурсные предложения'!AC27*'конкурсная документация'!AD65/(1-'конкурсные предложения'!AC26)*(1-'конкурсная документация'!AD51)</f>
        <v>600</v>
      </c>
      <c r="AE158" s="206">
        <f>'конкурсные предложения'!AD27*'конкурсная документация'!AE65/(1-'конкурсные предложения'!AD26)*(1-'конкурсная документация'!AE51)</f>
        <v>600</v>
      </c>
      <c r="AF158" s="206">
        <f>'конкурсные предложения'!AE27*'конкурсная документация'!AF65/(1-'конкурсные предложения'!AE26)*(1-'конкурсная документация'!AF51)</f>
        <v>600</v>
      </c>
    </row>
    <row r="159" spans="1:32" s="170" customFormat="1" ht="29.25" customHeight="1">
      <c r="A159" s="217" t="s">
        <v>105</v>
      </c>
      <c r="B159" s="218"/>
      <c r="C159" s="206">
        <f>'конкурсная документация'!$B$12*C7</f>
        <v>18.19</v>
      </c>
      <c r="D159" s="206">
        <f>'конкурсная документация'!$B$12*D7</f>
        <v>19.4633</v>
      </c>
      <c r="E159" s="206">
        <f>'конкурсная документация'!$B$12*E7</f>
        <v>20.825731</v>
      </c>
      <c r="F159" s="206">
        <f>'конкурсная документация'!$B$12*F7</f>
        <v>22.283532170000004</v>
      </c>
      <c r="G159" s="206">
        <f>'конкурсная документация'!$B$12*G7</f>
        <v>23.843379421900007</v>
      </c>
      <c r="H159" s="206">
        <f>'конкурсная документация'!$B$12*H7</f>
        <v>25.51241598143301</v>
      </c>
      <c r="I159" s="206">
        <f>'конкурсная документация'!$B$12*I7</f>
        <v>27.29828510013332</v>
      </c>
      <c r="J159" s="206">
        <f>'конкурсная документация'!$B$12*J7</f>
        <v>29.209165057142656</v>
      </c>
      <c r="K159" s="206">
        <f>'конкурсная документация'!$B$12*K7</f>
        <v>31.253806611142643</v>
      </c>
      <c r="L159" s="206">
        <f>'конкурсная документация'!$B$12*L7</f>
        <v>33.44157307392263</v>
      </c>
      <c r="M159" s="206">
        <f>'конкурсная документация'!$B$12*M7</f>
        <v>35.78248318909722</v>
      </c>
      <c r="N159" s="206">
        <f>'конкурсная документация'!$B$12*N7</f>
        <v>38.287257012334024</v>
      </c>
      <c r="O159" s="206">
        <f>'конкурсная документация'!$B$12*O7</f>
        <v>40.96736500319741</v>
      </c>
      <c r="P159" s="206">
        <f>'конкурсная документация'!$B$12*P7</f>
        <v>43.83508055342123</v>
      </c>
      <c r="Q159" s="206">
        <f>'конкурсная документация'!$B$12*Q7</f>
        <v>46.903536192160715</v>
      </c>
      <c r="R159" s="206">
        <f>'конкурсная документация'!$B$12*R7</f>
        <v>50.186783725611974</v>
      </c>
      <c r="S159" s="206">
        <f>'конкурсная документация'!$B$12*S7</f>
        <v>53.699858586404815</v>
      </c>
      <c r="T159" s="206">
        <f>'конкурсная документация'!$B$12*T7</f>
        <v>57.458848687453155</v>
      </c>
      <c r="U159" s="206">
        <f>'конкурсная документация'!$B$12*U7</f>
        <v>61.48096809557489</v>
      </c>
      <c r="V159" s="206">
        <f>'конкурсная документация'!$B$12*V7</f>
        <v>65.78463586226513</v>
      </c>
      <c r="W159" s="206">
        <f>'конкурсная документация'!$B$12*W7</f>
        <v>70.3895603726237</v>
      </c>
      <c r="X159" s="206">
        <f>'конкурсная документация'!$B$12*X7</f>
        <v>75.31682959870737</v>
      </c>
      <c r="Y159" s="206">
        <f>'конкурсная документация'!$B$12*Y7</f>
        <v>80.5890076706169</v>
      </c>
      <c r="Z159" s="206">
        <f>'конкурсная документация'!$B$12*Z7</f>
        <v>86.23023820756008</v>
      </c>
      <c r="AA159" s="206">
        <f>'конкурсная документация'!$B$12*AA7</f>
        <v>92.2663548820893</v>
      </c>
      <c r="AB159" s="206">
        <f>'конкурсная документация'!$B$12*AB7</f>
        <v>98.72499972383557</v>
      </c>
      <c r="AC159" s="206">
        <f>'конкурсная документация'!$B$12*AC7</f>
        <v>105.63574970450406</v>
      </c>
      <c r="AD159" s="206">
        <f>'конкурсная документация'!$B$12*AD7</f>
        <v>113.03025218381936</v>
      </c>
      <c r="AE159" s="206">
        <f>'конкурсная документация'!$B$12*AE7</f>
        <v>120.94236983668671</v>
      </c>
      <c r="AF159" s="206">
        <f>'конкурсная документация'!$B$12*AF7</f>
        <v>129.4083357252548</v>
      </c>
    </row>
    <row r="160" spans="1:32" s="16" customFormat="1" ht="16.5" customHeight="1">
      <c r="A160" s="215" t="s">
        <v>109</v>
      </c>
      <c r="B160" s="191"/>
      <c r="C160" s="195">
        <f>C161*C162/1000</f>
        <v>0.5611111111111111</v>
      </c>
      <c r="D160" s="195">
        <f aca="true" t="shared" si="97" ref="D160:AF160">D161*D162/1000</f>
        <v>0.5454</v>
      </c>
      <c r="E160" s="195">
        <f t="shared" si="97"/>
        <v>0.589032</v>
      </c>
      <c r="F160" s="195">
        <f t="shared" si="97"/>
        <v>0.6302642399999999</v>
      </c>
      <c r="G160" s="195">
        <f t="shared" si="97"/>
        <v>0.6680800944</v>
      </c>
      <c r="H160" s="195">
        <f t="shared" si="97"/>
        <v>0.7081649000640001</v>
      </c>
      <c r="I160" s="195">
        <f t="shared" si="97"/>
        <v>0.7506547940678402</v>
      </c>
      <c r="J160" s="195">
        <f t="shared" si="97"/>
        <v>0.7956940817119107</v>
      </c>
      <c r="K160" s="195">
        <f t="shared" si="97"/>
        <v>0.8434357266146254</v>
      </c>
      <c r="L160" s="195">
        <f t="shared" si="97"/>
        <v>0.8940418702115029</v>
      </c>
      <c r="M160" s="195">
        <f t="shared" si="97"/>
        <v>0.9476843824241933</v>
      </c>
      <c r="N160" s="195">
        <f t="shared" si="97"/>
        <v>1.0045454453696447</v>
      </c>
      <c r="O160" s="195">
        <f t="shared" si="97"/>
        <v>1.0648181720918235</v>
      </c>
      <c r="P160" s="195">
        <f t="shared" si="97"/>
        <v>1.1287072624173329</v>
      </c>
      <c r="Q160" s="195">
        <f t="shared" si="97"/>
        <v>1.196429698162373</v>
      </c>
      <c r="R160" s="195">
        <f t="shared" si="97"/>
        <v>1.2682154800521155</v>
      </c>
      <c r="S160" s="195">
        <f t="shared" si="97"/>
        <v>1.3443084088552426</v>
      </c>
      <c r="T160" s="195">
        <f t="shared" si="97"/>
        <v>1.424966913386557</v>
      </c>
      <c r="U160" s="195">
        <f t="shared" si="97"/>
        <v>1.5104649281897504</v>
      </c>
      <c r="V160" s="195">
        <f t="shared" si="97"/>
        <v>1.6010928238811357</v>
      </c>
      <c r="W160" s="195">
        <f t="shared" si="97"/>
        <v>1.697158393314004</v>
      </c>
      <c r="X160" s="195">
        <f t="shared" si="97"/>
        <v>1.798987896912844</v>
      </c>
      <c r="Y160" s="195">
        <f t="shared" si="97"/>
        <v>1.9069271707276148</v>
      </c>
      <c r="Z160" s="195">
        <f t="shared" si="97"/>
        <v>2.0213428009712717</v>
      </c>
      <c r="AA160" s="195">
        <f t="shared" si="97"/>
        <v>2.1426233690295486</v>
      </c>
      <c r="AB160" s="195">
        <f t="shared" si="97"/>
        <v>2.2711807711713212</v>
      </c>
      <c r="AC160" s="195">
        <f t="shared" si="97"/>
        <v>2.4074516174416005</v>
      </c>
      <c r="AD160" s="195">
        <f t="shared" si="97"/>
        <v>2.5518987144880967</v>
      </c>
      <c r="AE160" s="195">
        <f t="shared" si="97"/>
        <v>2.705012637357383</v>
      </c>
      <c r="AF160" s="195">
        <f t="shared" si="97"/>
        <v>2.867313395598826</v>
      </c>
    </row>
    <row r="161" spans="1:32" s="170" customFormat="1" ht="35.25" customHeight="1">
      <c r="A161" s="217" t="s">
        <v>244</v>
      </c>
      <c r="B161" s="218"/>
      <c r="C161" s="206">
        <f>'конкурсная документация'!C65/(1-'конкурсные предложения'!B26)*'конкурсная документация'!C51</f>
        <v>55.55555555555556</v>
      </c>
      <c r="D161" s="206">
        <f>'конкурсная документация'!D65/(1-'конкурсные предложения'!C26)*'конкурсная документация'!D51</f>
        <v>50</v>
      </c>
      <c r="E161" s="206">
        <f>'конкурсная документация'!E65/(1-'конкурсные предложения'!D26)*'конкурсная документация'!E51</f>
        <v>50</v>
      </c>
      <c r="F161" s="206">
        <f>'конкурсная документация'!F65/(1-'конкурсные предложения'!E26)*'конкурсная документация'!F51</f>
        <v>50</v>
      </c>
      <c r="G161" s="206">
        <f>'конкурсная документация'!G65/(1-'конкурсные предложения'!F26)*'конкурсная документация'!G51</f>
        <v>50</v>
      </c>
      <c r="H161" s="206">
        <f>'конкурсная документация'!H65/(1-'конкурсные предложения'!G26)*'конкурсная документация'!H51</f>
        <v>50</v>
      </c>
      <c r="I161" s="206">
        <f>'конкурсная документация'!I65/(1-'конкурсные предложения'!H26)*'конкурсная документация'!I51</f>
        <v>50</v>
      </c>
      <c r="J161" s="206">
        <f>'конкурсная документация'!J65/(1-'конкурсные предложения'!I26)*'конкурсная документация'!J51</f>
        <v>50</v>
      </c>
      <c r="K161" s="206">
        <f>'конкурсная документация'!K65/(1-'конкурсные предложения'!J26)*'конкурсная документация'!K51</f>
        <v>50</v>
      </c>
      <c r="L161" s="206">
        <f>'конкурсная документация'!L65/(1-'конкурсные предложения'!K26)*'конкурсная документация'!L51</f>
        <v>50</v>
      </c>
      <c r="M161" s="206">
        <f>'конкурсная документация'!M65/(1-'конкурсные предложения'!L26)*'конкурсная документация'!M51</f>
        <v>50</v>
      </c>
      <c r="N161" s="206">
        <f>'конкурсная документация'!N65/(1-'конкурсные предложения'!M26)*'конкурсная документация'!N51</f>
        <v>50</v>
      </c>
      <c r="O161" s="206">
        <f>'конкурсная документация'!O65/(1-'конкурсные предложения'!N26)*'конкурсная документация'!O51</f>
        <v>50</v>
      </c>
      <c r="P161" s="206">
        <f>'конкурсная документация'!P65/(1-'конкурсные предложения'!O26)*'конкурсная документация'!P51</f>
        <v>50</v>
      </c>
      <c r="Q161" s="206">
        <f>'конкурсная документация'!Q65/(1-'конкурсные предложения'!P26)*'конкурсная документация'!Q51</f>
        <v>50</v>
      </c>
      <c r="R161" s="206">
        <f>'конкурсная документация'!R65/(1-'конкурсные предложения'!Q26)*'конкурсная документация'!R51</f>
        <v>50</v>
      </c>
      <c r="S161" s="206">
        <f>'конкурсная документация'!S65/(1-'конкурсные предложения'!R26)*'конкурсная документация'!S51</f>
        <v>50</v>
      </c>
      <c r="T161" s="206">
        <f>'конкурсная документация'!T65/(1-'конкурсные предложения'!S26)*'конкурсная документация'!T51</f>
        <v>50</v>
      </c>
      <c r="U161" s="206">
        <f>'конкурсная документация'!U65/(1-'конкурсные предложения'!T26)*'конкурсная документация'!U51</f>
        <v>50</v>
      </c>
      <c r="V161" s="206">
        <f>'конкурсная документация'!V65/(1-'конкурсные предложения'!U26)*'конкурсная документация'!V51</f>
        <v>50</v>
      </c>
      <c r="W161" s="206">
        <f>'конкурсная документация'!W65/(1-'конкурсные предложения'!V26)*'конкурсная документация'!W51</f>
        <v>50</v>
      </c>
      <c r="X161" s="206">
        <f>'конкурсная документация'!X65/(1-'конкурсные предложения'!W26)*'конкурсная документация'!X51</f>
        <v>50</v>
      </c>
      <c r="Y161" s="206">
        <f>'конкурсная документация'!Y65/(1-'конкурсные предложения'!X26)*'конкурсная документация'!Y51</f>
        <v>50</v>
      </c>
      <c r="Z161" s="206">
        <f>'конкурсная документация'!Z65/(1-'конкурсные предложения'!Y26)*'конкурсная документация'!Z51</f>
        <v>50</v>
      </c>
      <c r="AA161" s="206">
        <f>'конкурсная документация'!AA65/(1-'конкурсные предложения'!Z26)*'конкурсная документация'!AA51</f>
        <v>50</v>
      </c>
      <c r="AB161" s="206">
        <f>'конкурсная документация'!AB65/(1-'конкурсные предложения'!AA26)*'конкурсная документация'!AB51</f>
        <v>50</v>
      </c>
      <c r="AC161" s="206">
        <f>'конкурсная документация'!AC65/(1-'конкурсные предложения'!AB26)*'конкурсная документация'!AC51</f>
        <v>50</v>
      </c>
      <c r="AD161" s="206">
        <f>'конкурсная документация'!AD65/(1-'конкурсные предложения'!AC26)*'конкурсная документация'!AD51</f>
        <v>50</v>
      </c>
      <c r="AE161" s="206">
        <f>'конкурсная документация'!AE65/(1-'конкурсные предложения'!AD26)*'конкурсная документация'!AE51</f>
        <v>50</v>
      </c>
      <c r="AF161" s="206">
        <f>'конкурсная документация'!AF65/(1-'конкурсные предложения'!AE26)*'конкурсная документация'!AF51</f>
        <v>50</v>
      </c>
    </row>
    <row r="162" spans="1:32" s="170" customFormat="1" ht="45" customHeight="1">
      <c r="A162" s="217" t="s">
        <v>108</v>
      </c>
      <c r="B162" s="218"/>
      <c r="C162" s="206">
        <f>'конкурсная документация'!$B$13*C11</f>
        <v>10.1</v>
      </c>
      <c r="D162" s="206">
        <f>'конкурсная документация'!$B$13*D11</f>
        <v>10.908</v>
      </c>
      <c r="E162" s="206">
        <f>'конкурсная документация'!$B$13*E11</f>
        <v>11.78064</v>
      </c>
      <c r="F162" s="206">
        <f>'конкурсная документация'!$B$13*F11</f>
        <v>12.6052848</v>
      </c>
      <c r="G162" s="206">
        <f>'конкурсная документация'!$B$13*G11</f>
        <v>13.361601888000001</v>
      </c>
      <c r="H162" s="206">
        <f>'конкурсная документация'!$B$13*H11</f>
        <v>14.163298001280003</v>
      </c>
      <c r="I162" s="206">
        <f>'конкурсная документация'!$B$13*I11</f>
        <v>15.013095881356804</v>
      </c>
      <c r="J162" s="206">
        <f>'конкурсная документация'!$B$13*J11</f>
        <v>15.913881634238214</v>
      </c>
      <c r="K162" s="206">
        <f>'конкурсная документация'!$B$13*K11</f>
        <v>16.868714532292508</v>
      </c>
      <c r="L162" s="206">
        <f>'конкурсная документация'!$B$13*L11</f>
        <v>17.880837404230057</v>
      </c>
      <c r="M162" s="206">
        <f>'конкурсная документация'!$B$13*M11</f>
        <v>18.953687648483864</v>
      </c>
      <c r="N162" s="206">
        <f>'конкурсная документация'!$B$13*N11</f>
        <v>20.090908907392894</v>
      </c>
      <c r="O162" s="206">
        <f>'конкурсная документация'!$B$13*O11</f>
        <v>21.29636344183647</v>
      </c>
      <c r="P162" s="206">
        <f>'конкурсная документация'!$B$13*P11</f>
        <v>22.574145248346657</v>
      </c>
      <c r="Q162" s="206">
        <f>'конкурсная документация'!$B$13*Q11</f>
        <v>23.928593963247458</v>
      </c>
      <c r="R162" s="206">
        <f>'конкурсная документация'!$B$13*R11</f>
        <v>25.364309601042308</v>
      </c>
      <c r="S162" s="206">
        <f>'конкурсная документация'!$B$13*S11</f>
        <v>26.88616817710485</v>
      </c>
      <c r="T162" s="206">
        <f>'конкурсная документация'!$B$13*T11</f>
        <v>28.49933826773114</v>
      </c>
      <c r="U162" s="206">
        <f>'конкурсная документация'!$B$13*U11</f>
        <v>30.20929856379501</v>
      </c>
      <c r="V162" s="206">
        <f>'конкурсная документация'!$B$13*V11</f>
        <v>32.02185647762271</v>
      </c>
      <c r="W162" s="206">
        <f>'конкурсная документация'!$B$13*W11</f>
        <v>33.94316786628008</v>
      </c>
      <c r="X162" s="206">
        <f>'конкурсная документация'!$B$13*X11</f>
        <v>35.97975793825688</v>
      </c>
      <c r="Y162" s="206">
        <f>'конкурсная документация'!$B$13*Y11</f>
        <v>38.138543414552295</v>
      </c>
      <c r="Z162" s="206">
        <f>'конкурсная документация'!$B$13*Z11</f>
        <v>40.426856019425436</v>
      </c>
      <c r="AA162" s="206">
        <f>'конкурсная документация'!$B$13*AA11</f>
        <v>42.852467380590966</v>
      </c>
      <c r="AB162" s="206">
        <f>'конкурсная документация'!$B$13*AB11</f>
        <v>45.423615423426426</v>
      </c>
      <c r="AC162" s="206">
        <f>'конкурсная документация'!$B$13*AC11</f>
        <v>48.14903234883201</v>
      </c>
      <c r="AD162" s="206">
        <f>'конкурсная документация'!$B$13*AD11</f>
        <v>51.037974289761934</v>
      </c>
      <c r="AE162" s="206">
        <f>'конкурсная документация'!$B$13*AE11</f>
        <v>54.10025274714766</v>
      </c>
      <c r="AF162" s="206">
        <f>'конкурсная документация'!$B$13*AF11</f>
        <v>57.34626791197652</v>
      </c>
    </row>
    <row r="163" spans="1:32" s="16" customFormat="1" ht="15">
      <c r="A163" s="99" t="s">
        <v>9</v>
      </c>
      <c r="B163" s="216"/>
      <c r="C163" s="195">
        <f>SUM(C164:C167)</f>
        <v>551.775</v>
      </c>
      <c r="D163" s="195">
        <f>SUM(D164:D167)</f>
        <v>638.3160388194444</v>
      </c>
      <c r="E163" s="195">
        <f>SUM(E164:E167)</f>
        <v>737.1126644736459</v>
      </c>
      <c r="F163" s="195">
        <f aca="true" t="shared" si="98" ref="F163:P163">SUM(F164:F167)</f>
        <v>846.4774112432191</v>
      </c>
      <c r="G163" s="195">
        <f t="shared" si="98"/>
        <v>967.9178923970269</v>
      </c>
      <c r="H163" s="195">
        <f t="shared" si="98"/>
        <v>1101.9931067843786</v>
      </c>
      <c r="I163" s="195">
        <f t="shared" si="98"/>
        <v>1249.2855471017888</v>
      </c>
      <c r="J163" s="195">
        <f t="shared" si="98"/>
        <v>1410.4299594677584</v>
      </c>
      <c r="K163" s="195">
        <f t="shared" si="98"/>
        <v>1586.1137166224153</v>
      </c>
      <c r="L163" s="195">
        <f t="shared" si="98"/>
        <v>1777.0837919320102</v>
      </c>
      <c r="M163" s="195">
        <f t="shared" si="98"/>
        <v>1996.2564156078852</v>
      </c>
      <c r="N163" s="195">
        <f t="shared" si="98"/>
        <v>2302.805960447495</v>
      </c>
      <c r="O163" s="195">
        <f t="shared" si="98"/>
        <v>2635.8846636540184</v>
      </c>
      <c r="P163" s="195">
        <f t="shared" si="98"/>
        <v>2996.0654436536433</v>
      </c>
      <c r="Q163" s="195">
        <f aca="true" t="shared" si="99" ref="Q163:AF163">SUM(Q164:Q167)</f>
        <v>3384.814014595571</v>
      </c>
      <c r="R163" s="195">
        <f t="shared" si="99"/>
        <v>3803.713508657746</v>
      </c>
      <c r="S163" s="195">
        <f t="shared" si="99"/>
        <v>4254.491152753776</v>
      </c>
      <c r="T163" s="195">
        <f t="shared" si="99"/>
        <v>4739.011515032181</v>
      </c>
      <c r="U163" s="195">
        <f t="shared" si="99"/>
        <v>5259.292028948133</v>
      </c>
      <c r="V163" s="195">
        <f t="shared" si="99"/>
        <v>5817.523519838677</v>
      </c>
      <c r="W163" s="195">
        <f t="shared" si="99"/>
        <v>6416.05222283266</v>
      </c>
      <c r="X163" s="195">
        <f t="shared" si="99"/>
        <v>7057.439825573604</v>
      </c>
      <c r="Y163" s="195">
        <f t="shared" si="99"/>
        <v>7750.719813966616</v>
      </c>
      <c r="Z163" s="195">
        <f t="shared" si="99"/>
        <v>8500.649831078073</v>
      </c>
      <c r="AA163" s="195">
        <f t="shared" si="99"/>
        <v>9311.616909502643</v>
      </c>
      <c r="AB163" s="195">
        <f t="shared" si="99"/>
        <v>10188.431072651985</v>
      </c>
      <c r="AC163" s="195">
        <f t="shared" si="99"/>
        <v>11136.347090076151</v>
      </c>
      <c r="AD163" s="195">
        <f t="shared" si="99"/>
        <v>12161.04022665575</v>
      </c>
      <c r="AE163" s="195">
        <f t="shared" si="99"/>
        <v>13268.652069929589</v>
      </c>
      <c r="AF163" s="195">
        <f t="shared" si="99"/>
        <v>14465.84975611312</v>
      </c>
    </row>
    <row r="164" spans="1:32" s="170" customFormat="1" ht="18" customHeight="1">
      <c r="A164" s="219" t="s">
        <v>20</v>
      </c>
      <c r="B164" s="218"/>
      <c r="C164" s="206">
        <f>'конкурсная документация'!C53*C12</f>
        <v>11</v>
      </c>
      <c r="D164" s="206">
        <f>'конкурсная документация'!D53*D12</f>
        <v>12.100000000000001</v>
      </c>
      <c r="E164" s="206">
        <f>'конкурсная документация'!E53*E12</f>
        <v>12.826000000000002</v>
      </c>
      <c r="F164" s="206">
        <f>'конкурсная документация'!F53*F12</f>
        <v>13.723820000000002</v>
      </c>
      <c r="G164" s="206">
        <f>'конкурсная документация'!G53*G12</f>
        <v>14.684487400000004</v>
      </c>
      <c r="H164" s="206">
        <f>'конкурсная документация'!H53*H12</f>
        <v>15.712401518000005</v>
      </c>
      <c r="I164" s="206">
        <f>'конкурсная документация'!I53*I12</f>
        <v>16.812269624260008</v>
      </c>
      <c r="J164" s="206">
        <f>'конкурсная документация'!J53*J12</f>
        <v>17.98912849795821</v>
      </c>
      <c r="K164" s="206">
        <f>'конкурсная документация'!K53*K12</f>
        <v>19.248367492815284</v>
      </c>
      <c r="L164" s="206">
        <f>'конкурсная документация'!L53*L12</f>
        <v>20.595753217312357</v>
      </c>
      <c r="M164" s="206">
        <f>'конкурсная документация'!M53*M12</f>
        <v>22.03745594252422</v>
      </c>
      <c r="N164" s="206">
        <f>'конкурсная документация'!N53*N12</f>
        <v>23.580077858500918</v>
      </c>
      <c r="O164" s="206">
        <f>'конкурсная документация'!O53*O12</f>
        <v>25.23068330859598</v>
      </c>
      <c r="P164" s="206">
        <f>'конкурсная документация'!P53*P12</f>
        <v>26.996831140197703</v>
      </c>
      <c r="Q164" s="206">
        <f>'конкурсная документация'!Q53*Q12</f>
        <v>28.886609320011544</v>
      </c>
      <c r="R164" s="206">
        <f>'конкурсная документация'!R53*R12</f>
        <v>30.90867197241235</v>
      </c>
      <c r="S164" s="206">
        <f>'конкурсная документация'!S53*S12</f>
        <v>33.07227901048122</v>
      </c>
      <c r="T164" s="206">
        <f>'конкурсная документация'!T53*T12</f>
        <v>35.3873385412149</v>
      </c>
      <c r="U164" s="206">
        <f>'конкурсная документация'!U53*U12</f>
        <v>37.86445223909995</v>
      </c>
      <c r="V164" s="206">
        <f>'конкурсная документация'!V53*V12</f>
        <v>40.51496389583694</v>
      </c>
      <c r="W164" s="206">
        <f>'конкурсная документация'!W53*W12</f>
        <v>43.351011368545535</v>
      </c>
      <c r="X164" s="206">
        <f>'конкурсная документация'!X53*X12</f>
        <v>46.385582164343724</v>
      </c>
      <c r="Y164" s="206">
        <f>'конкурсная документация'!Y53*Y12</f>
        <v>49.63257291584779</v>
      </c>
      <c r="Z164" s="206">
        <f>'конкурсная документация'!Z53*Z12</f>
        <v>53.10685301995714</v>
      </c>
      <c r="AA164" s="206">
        <f>'конкурсная документация'!AA53*AA12</f>
        <v>56.82433273135415</v>
      </c>
      <c r="AB164" s="206">
        <f>'конкурсная документация'!AB53*AB12</f>
        <v>60.80203602254894</v>
      </c>
      <c r="AC164" s="206">
        <f>'конкурсная документация'!AC53*AC12</f>
        <v>65.05817854412737</v>
      </c>
      <c r="AD164" s="206">
        <f>'конкурсная документация'!AD53*AD12</f>
        <v>69.61225104221629</v>
      </c>
      <c r="AE164" s="206">
        <f>'конкурсная документация'!AE53*AE12</f>
        <v>74.48510861517143</v>
      </c>
      <c r="AF164" s="206">
        <f>'конкурсная документация'!AF53*AF12</f>
        <v>79.69906621823343</v>
      </c>
    </row>
    <row r="165" spans="1:32" s="16" customFormat="1" ht="15">
      <c r="A165" s="215" t="s">
        <v>10</v>
      </c>
      <c r="B165" s="191"/>
      <c r="C165" s="220">
        <f>C140*'конкурсная документация'!$B$10/(1-'конкурсная документация'!$B$10)</f>
        <v>0.625</v>
      </c>
      <c r="D165" s="220">
        <f>D140*'конкурсная документация'!$B$10/(1-'конкурсная документация'!$B$10)</f>
        <v>46.17453881944444</v>
      </c>
      <c r="E165" s="220">
        <f>E140*'конкурсная документация'!$B$10/(1-'конкурсная документация'!$B$10)</f>
        <v>103.37438947364585</v>
      </c>
      <c r="F165" s="220">
        <f>F140*'конкурсная документация'!$B$10/(1-'конкурсная документация'!$B$10)</f>
        <v>169.51548599321904</v>
      </c>
      <c r="G165" s="220">
        <f>G140*'конкурсная документация'!$B$10/(1-'конкурсная документация'!$B$10)</f>
        <v>245.9381993795268</v>
      </c>
      <c r="H165" s="220">
        <f>H140*'конкурсная документация'!$B$10/(1-'конкурсная документация'!$B$10)</f>
        <v>333.07594025565356</v>
      </c>
      <c r="I165" s="220">
        <f>I140*'конкурсная документация'!$B$10/(1-'конкурсная документация'!$B$10)</f>
        <v>431.37682191605296</v>
      </c>
      <c r="J165" s="220">
        <f>J140*'конкурсная документация'!$B$10/(1-'конкурсная документация'!$B$10)</f>
        <v>541.331804519021</v>
      </c>
      <c r="K165" s="220">
        <f>K140*'конкурсная документация'!$B$10/(1-'конкурсная документация'!$B$10)</f>
        <v>663.4744098272663</v>
      </c>
      <c r="L165" s="220">
        <f>L140*'конкурсная документация'!$B$10/(1-'конкурсная документация'!$B$10)</f>
        <v>798.3869906612007</v>
      </c>
      <c r="M165" s="220">
        <f>M140*'конкурсная документация'!$B$10/(1-'конкурсная документация'!$B$10)</f>
        <v>946.6942299929248</v>
      </c>
      <c r="N165" s="220">
        <f>N140*'конкурсная документация'!$B$10/(1-'конкурсная документация'!$B$10)</f>
        <v>1166.9377951042718</v>
      </c>
      <c r="O165" s="220">
        <f>O140*'конкурсная документация'!$B$10/(1-'конкурсная документация'!$B$10)</f>
        <v>1409.7083315519</v>
      </c>
      <c r="P165" s="220">
        <f>P140*'конкурсная документация'!$B$10/(1-'конкурсная документация'!$B$10)</f>
        <v>1675.2986046698538</v>
      </c>
      <c r="Q165" s="220">
        <f>Q140*'конкурсная документация'!$B$10/(1-'конкурсная документация'!$B$10)</f>
        <v>1964.8745647987394</v>
      </c>
      <c r="R165" s="220">
        <f>R140*'конкурсная документация'!$B$10/(1-'конкурсная документация'!$B$10)</f>
        <v>2279.698596841306</v>
      </c>
      <c r="S165" s="220">
        <f>S140*'конкурсная документация'!$B$10/(1-'конкурсная документация'!$B$10)</f>
        <v>2621.1547281267017</v>
      </c>
      <c r="T165" s="220">
        <f>T140*'конкурсная документация'!$B$10/(1-'конкурсная документация'!$B$10)</f>
        <v>2990.7403032480725</v>
      </c>
      <c r="U165" s="220">
        <f>U140*'конкурсная документация'!$B$10/(1-'конкурсная документация'!$B$10)</f>
        <v>3390.0798264563446</v>
      </c>
      <c r="V165" s="220">
        <f>V140*'конкурсная документация'!$B$10/(1-'конкурсная документация'!$B$10)</f>
        <v>3820.943688840019</v>
      </c>
      <c r="W165" s="220">
        <f>W140*'конкурсная документация'!$B$10/(1-'конкурсная документация'!$B$10)</f>
        <v>4285.228260881997</v>
      </c>
      <c r="X165" s="220">
        <f>X140*'конкурсная документация'!$B$10/(1-'конкурсная документация'!$B$10)</f>
        <v>4785.013875054642</v>
      </c>
      <c r="Y165" s="220">
        <f>Y140*'конкурсная документация'!$B$10/(1-'конкурсная документация'!$B$10)</f>
        <v>5328.81896722992</v>
      </c>
      <c r="Z165" s="220">
        <f>Z140*'конкурсная документация'!$B$10/(1-'конкурсная документация'!$B$10)</f>
        <v>5920.850076938748</v>
      </c>
      <c r="AA165" s="220">
        <f>AA140*'конкурсная документация'!$B$10/(1-'конкурсная документация'!$B$10)</f>
        <v>6564.904555992853</v>
      </c>
      <c r="AB165" s="220">
        <f>AB140*'конкурсная документация'!$B$10/(1-'конкурсная документация'!$B$10)</f>
        <v>7265.161469366141</v>
      </c>
      <c r="AC165" s="220">
        <f>AC140*'конкурсная документация'!$B$10/(1-'конкурсная документация'!$B$10)</f>
        <v>8026.200461080278</v>
      </c>
      <c r="AD165" s="220">
        <f>AD140*'конкурсная документация'!$B$10/(1-'конкурсная документация'!$B$10)</f>
        <v>8852.97441170049</v>
      </c>
      <c r="AE165" s="220">
        <f>AE140*'конкурсная документация'!$B$10/(1-'конкурсная документация'!$B$10)</f>
        <v>9750.851957548131</v>
      </c>
      <c r="AF165" s="220">
        <f>AF140*'конкурсная документация'!$B$10/(1-'конкурсная документация'!$B$10)</f>
        <v>10725.673177035978</v>
      </c>
    </row>
    <row r="166" spans="1:32" s="170" customFormat="1" ht="15">
      <c r="A166" s="219" t="s">
        <v>215</v>
      </c>
      <c r="B166" s="221"/>
      <c r="C166" s="221">
        <f>'расчет индексация'!C107</f>
        <v>518.15</v>
      </c>
      <c r="D166" s="221">
        <f>'расчет индексация'!D107</f>
        <v>555.8415</v>
      </c>
      <c r="E166" s="221">
        <f>'расчет индексация'!E107</f>
        <v>595.260275</v>
      </c>
      <c r="F166" s="221">
        <f>'расчет индексация'!F107</f>
        <v>635.79046525</v>
      </c>
      <c r="G166" s="221">
        <f>'расчет индексация'!G107</f>
        <v>677.9262308175</v>
      </c>
      <c r="H166" s="221">
        <f>'расчет индексация'!H107</f>
        <v>721.7799619747251</v>
      </c>
      <c r="I166" s="221">
        <f>'расчет индексация'!I107</f>
        <v>767.4719163129558</v>
      </c>
      <c r="J166" s="221">
        <f>'расчет индексация'!J107</f>
        <v>815.1307694548627</v>
      </c>
      <c r="K166" s="221">
        <f>'расчет индексация'!K107</f>
        <v>864.8942043167032</v>
      </c>
      <c r="L166" s="221">
        <f>'расчет индексация'!L107</f>
        <v>916.9095416188725</v>
      </c>
      <c r="M166" s="221">
        <f>'расчет индексация'!M107</f>
        <v>983.4498177873879</v>
      </c>
      <c r="N166" s="221">
        <f>'расчет индексация'!N107</f>
        <v>1065.1279317677206</v>
      </c>
      <c r="O166" s="221">
        <f>'расчет индексация'!O107</f>
        <v>1150.4842821763305</v>
      </c>
      <c r="P166" s="221">
        <f>'расчет индексация'!P107</f>
        <v>1239.7763455631964</v>
      </c>
      <c r="Q166" s="221">
        <f>'расчет индексация'!Q107</f>
        <v>1333.279621836797</v>
      </c>
      <c r="R166" s="221">
        <f>'расчет индексация'!R107</f>
        <v>1431.288895899203</v>
      </c>
      <c r="S166" s="221">
        <f>'расчет индексация'!S107</f>
        <v>1534.1195875956314</v>
      </c>
      <c r="T166" s="221">
        <f>'расчет индексация'!T107</f>
        <v>1642.1091961604634</v>
      </c>
      <c r="U166" s="221">
        <f>'расчет индексация'!U107</f>
        <v>1755.6188457744875</v>
      </c>
      <c r="V166" s="221">
        <f>'расчет индексация'!V107</f>
        <v>1875.034939311147</v>
      </c>
      <c r="W166" s="221">
        <f>'расчет индексация'!W107</f>
        <v>2000.7709278450263</v>
      </c>
      <c r="X166" s="221">
        <f>'расчет индексация'!X107</f>
        <v>2133.269204025931</v>
      </c>
      <c r="Y166" s="221">
        <f>'расчет индексация'!Y107</f>
        <v>2273.0031279891523</v>
      </c>
      <c r="Z166" s="221">
        <f>'расчет индексация'!Z107</f>
        <v>2420.4791950794533</v>
      </c>
      <c r="AA166" s="221">
        <f>'расчет индексация'!AA107</f>
        <v>2576.2393553157285</v>
      </c>
      <c r="AB166" s="221">
        <f>'расчет индексация'!AB107</f>
        <v>2740.863495218197</v>
      </c>
      <c r="AC166" s="221">
        <f>'расчет индексация'!AC107</f>
        <v>2914.972093363492</v>
      </c>
      <c r="AD166" s="221">
        <f>'расчет индексация'!AD107</f>
        <v>3099.2290618286115</v>
      </c>
      <c r="AE166" s="221">
        <f>'расчет индексация'!AE107</f>
        <v>3294.3447865359426</v>
      </c>
      <c r="AF166" s="221">
        <f>'расчет индексация'!AF107</f>
        <v>3501.079380422442</v>
      </c>
    </row>
    <row r="167" spans="1:32" s="170" customFormat="1" ht="15">
      <c r="A167" s="219" t="s">
        <v>18</v>
      </c>
      <c r="B167" s="231"/>
      <c r="C167" s="206">
        <f>'конкурсная документация'!C56*C12</f>
        <v>22</v>
      </c>
      <c r="D167" s="206">
        <f>'конкурсная документация'!D56*D12</f>
        <v>24.200000000000003</v>
      </c>
      <c r="E167" s="206">
        <f>'конкурсная документация'!E56*E12</f>
        <v>25.652000000000005</v>
      </c>
      <c r="F167" s="206">
        <f>'конкурсная документация'!F56*F12</f>
        <v>27.447640000000003</v>
      </c>
      <c r="G167" s="206">
        <f>'конкурсная документация'!G56*G12</f>
        <v>29.368974800000007</v>
      </c>
      <c r="H167" s="206">
        <f>'конкурсная документация'!H56*H12</f>
        <v>31.42480303600001</v>
      </c>
      <c r="I167" s="206">
        <f>'конкурсная документация'!I56*I12</f>
        <v>33.624539248520016</v>
      </c>
      <c r="J167" s="206">
        <f>'конкурсная документация'!J56*J12</f>
        <v>35.97825699591642</v>
      </c>
      <c r="K167" s="206">
        <f>'конкурсная документация'!K56*K12</f>
        <v>38.49673498563057</v>
      </c>
      <c r="L167" s="206">
        <f>'конкурсная документация'!L56*L12</f>
        <v>41.19150643462471</v>
      </c>
      <c r="M167" s="206">
        <f>'конкурсная документация'!M56*M12</f>
        <v>44.07491188504844</v>
      </c>
      <c r="N167" s="206">
        <f>'конкурсная документация'!N56*N12</f>
        <v>47.160155717001835</v>
      </c>
      <c r="O167" s="206">
        <f>'конкурсная документация'!O56*O12</f>
        <v>50.46136661719196</v>
      </c>
      <c r="P167" s="206">
        <f>'конкурсная документация'!P56*P12</f>
        <v>53.993662280395405</v>
      </c>
      <c r="Q167" s="206">
        <f>'конкурсная документация'!Q56*Q12</f>
        <v>57.77321864002309</v>
      </c>
      <c r="R167" s="206">
        <f>'конкурсная документация'!R56*R12</f>
        <v>61.8173439448247</v>
      </c>
      <c r="S167" s="206">
        <f>'конкурсная документация'!S56*S12</f>
        <v>66.14455802096244</v>
      </c>
      <c r="T167" s="206">
        <f>'конкурсная документация'!T56*T12</f>
        <v>70.7746770824298</v>
      </c>
      <c r="U167" s="206">
        <f>'конкурсная документация'!U56*U12</f>
        <v>75.7289044781999</v>
      </c>
      <c r="V167" s="206">
        <f>'конкурсная документация'!V56*V12</f>
        <v>81.02992779167388</v>
      </c>
      <c r="W167" s="206">
        <f>'конкурсная документация'!W56*W12</f>
        <v>86.70202273709107</v>
      </c>
      <c r="X167" s="206">
        <f>'конкурсная документация'!X56*X12</f>
        <v>92.77116432868745</v>
      </c>
      <c r="Y167" s="206">
        <f>'конкурсная документация'!Y56*Y12</f>
        <v>99.26514583169558</v>
      </c>
      <c r="Z167" s="206">
        <f>'конкурсная документация'!Z56*Z12</f>
        <v>106.21370603991429</v>
      </c>
      <c r="AA167" s="206">
        <f>'конкурсная документация'!AA56*AA12</f>
        <v>113.6486654627083</v>
      </c>
      <c r="AB167" s="206">
        <f>'конкурсная документация'!AB56*AB12</f>
        <v>121.60407204509788</v>
      </c>
      <c r="AC167" s="206">
        <f>'конкурсная документация'!AC56*AC12</f>
        <v>130.11635708825474</v>
      </c>
      <c r="AD167" s="206">
        <f>'конкурсная документация'!AD56*AD12</f>
        <v>139.22450208443257</v>
      </c>
      <c r="AE167" s="206">
        <f>'конкурсная документация'!AE56*AE12</f>
        <v>148.97021723034285</v>
      </c>
      <c r="AF167" s="206">
        <f>'конкурсная документация'!AF56*AF12</f>
        <v>159.39813243646685</v>
      </c>
    </row>
    <row r="168" spans="1:32" s="236" customFormat="1" ht="15">
      <c r="A168" s="178" t="s">
        <v>34</v>
      </c>
      <c r="B168" s="87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</row>
    <row r="169" spans="1:32" s="16" customFormat="1" ht="15">
      <c r="A169" s="99" t="s">
        <v>11</v>
      </c>
      <c r="B169" s="225">
        <f>'конкурсная документация'!B64</f>
        <v>500</v>
      </c>
      <c r="C169" s="195">
        <f aca="true" t="shared" si="100" ref="C169:AF169">C100+C132+C140+C163+C153+C143+C142</f>
        <v>581.4827777777779</v>
      </c>
      <c r="D169" s="195">
        <f t="shared" si="100"/>
        <v>936.2596490972222</v>
      </c>
      <c r="E169" s="195">
        <f t="shared" si="100"/>
        <v>1357.2221496732293</v>
      </c>
      <c r="F169" s="195">
        <f t="shared" si="100"/>
        <v>1826.8839311580955</v>
      </c>
      <c r="G169" s="195">
        <f t="shared" si="100"/>
        <v>2358.965369681874</v>
      </c>
      <c r="H169" s="195">
        <f t="shared" si="100"/>
        <v>2953.877331026427</v>
      </c>
      <c r="I169" s="195">
        <f t="shared" si="100"/>
        <v>3614.5076162962896</v>
      </c>
      <c r="J169" s="195">
        <f t="shared" si="100"/>
        <v>4344.003529232602</v>
      </c>
      <c r="K169" s="195">
        <f t="shared" si="100"/>
        <v>5146.90565027388</v>
      </c>
      <c r="L169" s="195">
        <f t="shared" si="100"/>
        <v>6024.721566127306</v>
      </c>
      <c r="M169" s="195">
        <f t="shared" si="100"/>
        <v>6994.607188543313</v>
      </c>
      <c r="N169" s="195">
        <f t="shared" si="100"/>
        <v>8405.692871476576</v>
      </c>
      <c r="O169" s="195">
        <f t="shared" si="100"/>
        <v>9949.047915276931</v>
      </c>
      <c r="P169" s="195">
        <f t="shared" si="100"/>
        <v>11629.0972885792</v>
      </c>
      <c r="Q169" s="195">
        <f t="shared" si="100"/>
        <v>13450.058908285773</v>
      </c>
      <c r="R169" s="195">
        <f t="shared" si="100"/>
        <v>15421.316150409204</v>
      </c>
      <c r="S169" s="195">
        <f t="shared" si="100"/>
        <v>17551.47176040749</v>
      </c>
      <c r="T169" s="195">
        <f t="shared" si="100"/>
        <v>19849.812777953524</v>
      </c>
      <c r="U169" s="195">
        <f t="shared" si="100"/>
        <v>22328.614865921667</v>
      </c>
      <c r="V169" s="195">
        <f t="shared" si="100"/>
        <v>24994.46928410758</v>
      </c>
      <c r="W169" s="195">
        <f t="shared" si="100"/>
        <v>27861.165739746135</v>
      </c>
      <c r="X169" s="195">
        <f t="shared" si="100"/>
        <v>30858.965825418098</v>
      </c>
      <c r="Y169" s="195">
        <f t="shared" si="100"/>
        <v>34106.411741173</v>
      </c>
      <c r="Z169" s="195">
        <f t="shared" si="100"/>
        <v>37634.85741301087</v>
      </c>
      <c r="AA169" s="195">
        <f t="shared" si="100"/>
        <v>41457.96682621984</v>
      </c>
      <c r="AB169" s="195">
        <f t="shared" si="100"/>
        <v>45602.20612172924</v>
      </c>
      <c r="AC169" s="195">
        <f t="shared" si="100"/>
        <v>50093.27928876199</v>
      </c>
      <c r="AD169" s="195">
        <f t="shared" si="100"/>
        <v>54958.95275653724</v>
      </c>
      <c r="AE169" s="195">
        <f t="shared" si="100"/>
        <v>60233.66233339642</v>
      </c>
      <c r="AF169" s="195">
        <f t="shared" si="100"/>
        <v>65941.54364373589</v>
      </c>
    </row>
    <row r="170" spans="1:33" s="16" customFormat="1" ht="15">
      <c r="A170" s="99" t="s">
        <v>12</v>
      </c>
      <c r="B170" s="202"/>
      <c r="C170" s="210">
        <f>(C169-B169)/B169</f>
        <v>0.16296555555555575</v>
      </c>
      <c r="D170" s="210">
        <f aca="true" t="shared" si="101" ref="D170:AF170">(D169-C169)/C169</f>
        <v>0.6101244695075518</v>
      </c>
      <c r="E170" s="210">
        <f t="shared" si="101"/>
        <v>0.44962153498969587</v>
      </c>
      <c r="F170" s="210">
        <f t="shared" si="101"/>
        <v>0.34604635770050174</v>
      </c>
      <c r="G170" s="210">
        <f t="shared" si="101"/>
        <v>0.2912508175527508</v>
      </c>
      <c r="H170" s="210">
        <f t="shared" si="101"/>
        <v>0.2521919011574051</v>
      </c>
      <c r="I170" s="210">
        <f t="shared" si="101"/>
        <v>0.22364851726605176</v>
      </c>
      <c r="J170" s="210">
        <f t="shared" si="101"/>
        <v>0.20182442268134204</v>
      </c>
      <c r="K170" s="210">
        <f t="shared" si="101"/>
        <v>0.18482998819826388</v>
      </c>
      <c r="L170" s="210">
        <f t="shared" si="101"/>
        <v>0.17055216774892978</v>
      </c>
      <c r="M170" s="210">
        <f t="shared" si="101"/>
        <v>0.16098430637342304</v>
      </c>
      <c r="N170" s="210">
        <f t="shared" si="101"/>
        <v>0.20173908911490054</v>
      </c>
      <c r="O170" s="210">
        <f t="shared" si="101"/>
        <v>0.1836083077740673</v>
      </c>
      <c r="P170" s="210">
        <f t="shared" si="101"/>
        <v>0.16886534144865503</v>
      </c>
      <c r="Q170" s="210">
        <f t="shared" si="101"/>
        <v>0.15658667001564416</v>
      </c>
      <c r="R170" s="210">
        <f t="shared" si="101"/>
        <v>0.14656123482916925</v>
      </c>
      <c r="S170" s="210">
        <f t="shared" si="101"/>
        <v>0.13813059723451443</v>
      </c>
      <c r="T170" s="210">
        <f t="shared" si="101"/>
        <v>0.13094862065816149</v>
      </c>
      <c r="U170" s="210">
        <f t="shared" si="101"/>
        <v>0.12487785732272796</v>
      </c>
      <c r="V170" s="210">
        <f t="shared" si="101"/>
        <v>0.11939184021014171</v>
      </c>
      <c r="W170" s="210">
        <f t="shared" si="101"/>
        <v>0.11469323165270433</v>
      </c>
      <c r="X170" s="210">
        <f t="shared" si="101"/>
        <v>0.10759779808478602</v>
      </c>
      <c r="Y170" s="210">
        <f t="shared" si="101"/>
        <v>0.10523508578113215</v>
      </c>
      <c r="Z170" s="210">
        <f t="shared" si="101"/>
        <v>0.10345402789993176</v>
      </c>
      <c r="AA170" s="210">
        <f t="shared" si="101"/>
        <v>0.10158426724601517</v>
      </c>
      <c r="AB170" s="210">
        <f t="shared" si="101"/>
        <v>0.0999624345516241</v>
      </c>
      <c r="AC170" s="210">
        <f t="shared" si="101"/>
        <v>0.098483682018462</v>
      </c>
      <c r="AD170" s="210">
        <f t="shared" si="101"/>
        <v>0.09713226079145566</v>
      </c>
      <c r="AE170" s="210">
        <f t="shared" si="101"/>
        <v>0.09597543825526712</v>
      </c>
      <c r="AF170" s="210">
        <f t="shared" si="101"/>
        <v>0.0947623154432491</v>
      </c>
      <c r="AG170" s="136"/>
    </row>
    <row r="171" spans="1:32" s="16" customFormat="1" ht="15">
      <c r="A171" s="99" t="s">
        <v>103</v>
      </c>
      <c r="B171" s="225">
        <f>'конкурсная документация'!B65</f>
        <v>100</v>
      </c>
      <c r="C171" s="194">
        <f>'конкурсная документация'!C65</f>
        <v>100</v>
      </c>
      <c r="D171" s="194">
        <f>'конкурсная документация'!D65</f>
        <v>100</v>
      </c>
      <c r="E171" s="194">
        <f>'конкурсная документация'!E65</f>
        <v>100</v>
      </c>
      <c r="F171" s="194">
        <f>'конкурсная документация'!F65</f>
        <v>100</v>
      </c>
      <c r="G171" s="194">
        <f>'конкурсная документация'!G65</f>
        <v>100</v>
      </c>
      <c r="H171" s="194">
        <f>'конкурсная документация'!H65</f>
        <v>100</v>
      </c>
      <c r="I171" s="194">
        <f>'конкурсная документация'!I65</f>
        <v>100</v>
      </c>
      <c r="J171" s="194">
        <f>'конкурсная документация'!J65</f>
        <v>100</v>
      </c>
      <c r="K171" s="194">
        <f>'конкурсная документация'!K65</f>
        <v>100</v>
      </c>
      <c r="L171" s="194">
        <f>'конкурсная документация'!L65</f>
        <v>100</v>
      </c>
      <c r="M171" s="194">
        <f>'конкурсная документация'!M65</f>
        <v>100</v>
      </c>
      <c r="N171" s="194">
        <f>'конкурсная документация'!N65</f>
        <v>100</v>
      </c>
      <c r="O171" s="194">
        <f>'конкурсная документация'!O65</f>
        <v>100</v>
      </c>
      <c r="P171" s="194">
        <f>'конкурсная документация'!P65</f>
        <v>100</v>
      </c>
      <c r="Q171" s="194">
        <f>'конкурсная документация'!Q65</f>
        <v>100</v>
      </c>
      <c r="R171" s="194">
        <f>'конкурсная документация'!R65</f>
        <v>100</v>
      </c>
      <c r="S171" s="194">
        <f>'конкурсная документация'!S65</f>
        <v>100</v>
      </c>
      <c r="T171" s="194">
        <f>'конкурсная документация'!T65</f>
        <v>100</v>
      </c>
      <c r="U171" s="194">
        <f>'конкурсная документация'!U65</f>
        <v>100</v>
      </c>
      <c r="V171" s="194">
        <f>'конкурсная документация'!V65</f>
        <v>100</v>
      </c>
      <c r="W171" s="194">
        <f>'конкурсная документация'!W65</f>
        <v>100</v>
      </c>
      <c r="X171" s="194">
        <f>'конкурсная документация'!X65</f>
        <v>100</v>
      </c>
      <c r="Y171" s="194">
        <f>'конкурсная документация'!Y65</f>
        <v>100</v>
      </c>
      <c r="Z171" s="194">
        <f>'конкурсная документация'!Z65</f>
        <v>100</v>
      </c>
      <c r="AA171" s="194">
        <f>'конкурсная документация'!AA65</f>
        <v>100</v>
      </c>
      <c r="AB171" s="194">
        <f>'конкурсная документация'!AB65</f>
        <v>100</v>
      </c>
      <c r="AC171" s="194">
        <f>'конкурсная документация'!AC65</f>
        <v>100</v>
      </c>
      <c r="AD171" s="194">
        <f>'конкурсная документация'!AD65</f>
        <v>100</v>
      </c>
      <c r="AE171" s="194">
        <f>'конкурсная документация'!AE65</f>
        <v>100</v>
      </c>
      <c r="AF171" s="194">
        <f>'конкурсная документация'!AF65</f>
        <v>100</v>
      </c>
    </row>
    <row r="172" spans="1:32" s="16" customFormat="1" ht="14.25" customHeight="1">
      <c r="A172" s="99" t="s">
        <v>24</v>
      </c>
      <c r="B172" s="193">
        <f>B169*1000/B171</f>
        <v>5000</v>
      </c>
      <c r="C172" s="198">
        <f aca="true" t="shared" si="102" ref="C172:AF172">C169*1000/C171</f>
        <v>5814.8277777777785</v>
      </c>
      <c r="D172" s="198">
        <f t="shared" si="102"/>
        <v>9362.596490972222</v>
      </c>
      <c r="E172" s="198">
        <f t="shared" si="102"/>
        <v>13572.221496732293</v>
      </c>
      <c r="F172" s="198">
        <f t="shared" si="102"/>
        <v>18268.839311580956</v>
      </c>
      <c r="G172" s="198">
        <f t="shared" si="102"/>
        <v>23589.653696818743</v>
      </c>
      <c r="H172" s="198">
        <f t="shared" si="102"/>
        <v>29538.77331026427</v>
      </c>
      <c r="I172" s="198">
        <f t="shared" si="102"/>
        <v>36145.0761629629</v>
      </c>
      <c r="J172" s="198">
        <f t="shared" si="102"/>
        <v>43440.035292326014</v>
      </c>
      <c r="K172" s="198">
        <f t="shared" si="102"/>
        <v>51469.0565027388</v>
      </c>
      <c r="L172" s="198">
        <f t="shared" si="102"/>
        <v>60247.21566127306</v>
      </c>
      <c r="M172" s="198">
        <f t="shared" si="102"/>
        <v>69946.07188543314</v>
      </c>
      <c r="N172" s="198">
        <f t="shared" si="102"/>
        <v>84056.92871476576</v>
      </c>
      <c r="O172" s="198">
        <f t="shared" si="102"/>
        <v>99490.47915276932</v>
      </c>
      <c r="P172" s="198">
        <f t="shared" si="102"/>
        <v>116290.972885792</v>
      </c>
      <c r="Q172" s="198">
        <f t="shared" si="102"/>
        <v>134500.5890828577</v>
      </c>
      <c r="R172" s="198">
        <f t="shared" si="102"/>
        <v>154213.16150409204</v>
      </c>
      <c r="S172" s="198">
        <f t="shared" si="102"/>
        <v>175514.7176040749</v>
      </c>
      <c r="T172" s="198">
        <f t="shared" si="102"/>
        <v>198498.12777953525</v>
      </c>
      <c r="U172" s="198">
        <f t="shared" si="102"/>
        <v>223286.14865921668</v>
      </c>
      <c r="V172" s="198">
        <f t="shared" si="102"/>
        <v>249944.6928410758</v>
      </c>
      <c r="W172" s="198">
        <f t="shared" si="102"/>
        <v>278611.65739746136</v>
      </c>
      <c r="X172" s="198">
        <f t="shared" si="102"/>
        <v>308589.658254181</v>
      </c>
      <c r="Y172" s="198">
        <f t="shared" si="102"/>
        <v>341064.11741173</v>
      </c>
      <c r="Z172" s="198">
        <f t="shared" si="102"/>
        <v>376348.57413010864</v>
      </c>
      <c r="AA172" s="198">
        <f t="shared" si="102"/>
        <v>414579.6682621984</v>
      </c>
      <c r="AB172" s="198">
        <f t="shared" si="102"/>
        <v>456022.0612172924</v>
      </c>
      <c r="AC172" s="198">
        <f t="shared" si="102"/>
        <v>500932.7928876199</v>
      </c>
      <c r="AD172" s="198">
        <f t="shared" si="102"/>
        <v>549589.5275653724</v>
      </c>
      <c r="AE172" s="198">
        <f t="shared" si="102"/>
        <v>602336.6233339641</v>
      </c>
      <c r="AF172" s="198">
        <f t="shared" si="102"/>
        <v>659415.4364373588</v>
      </c>
    </row>
    <row r="173" spans="1:32" s="16" customFormat="1" ht="15">
      <c r="A173" s="99" t="s">
        <v>13</v>
      </c>
      <c r="B173" s="202"/>
      <c r="C173" s="210">
        <f>(C172-B172)/B172</f>
        <v>0.1629655555555557</v>
      </c>
      <c r="D173" s="210">
        <f>(D172-C172)/C172</f>
        <v>0.610124469507552</v>
      </c>
      <c r="E173" s="210">
        <f aca="true" t="shared" si="103" ref="E173:AF173">(E172-D172)/D172</f>
        <v>0.44962153498969576</v>
      </c>
      <c r="F173" s="210">
        <f t="shared" si="103"/>
        <v>0.34604635770050185</v>
      </c>
      <c r="G173" s="210">
        <f t="shared" si="103"/>
        <v>0.29125081755275084</v>
      </c>
      <c r="H173" s="210">
        <f t="shared" si="103"/>
        <v>0.2521919011574051</v>
      </c>
      <c r="I173" s="210">
        <f t="shared" si="103"/>
        <v>0.22364851726605176</v>
      </c>
      <c r="J173" s="210">
        <f t="shared" si="103"/>
        <v>0.20182442268134182</v>
      </c>
      <c r="K173" s="210">
        <f t="shared" si="103"/>
        <v>0.18482998819826393</v>
      </c>
      <c r="L173" s="210">
        <f t="shared" si="103"/>
        <v>0.17055216774892995</v>
      </c>
      <c r="M173" s="210">
        <f t="shared" si="103"/>
        <v>0.16098430637342306</v>
      </c>
      <c r="N173" s="210">
        <f t="shared" si="103"/>
        <v>0.2017390891149004</v>
      </c>
      <c r="O173" s="210">
        <f t="shared" si="103"/>
        <v>0.18360830777406742</v>
      </c>
      <c r="P173" s="210">
        <f t="shared" si="103"/>
        <v>0.168865341448655</v>
      </c>
      <c r="Q173" s="210">
        <f t="shared" si="103"/>
        <v>0.15658667001564397</v>
      </c>
      <c r="R173" s="210">
        <f t="shared" si="103"/>
        <v>0.14656123482916944</v>
      </c>
      <c r="S173" s="210">
        <f t="shared" si="103"/>
        <v>0.13813059723451432</v>
      </c>
      <c r="T173" s="210">
        <f t="shared" si="103"/>
        <v>0.1309486206581616</v>
      </c>
      <c r="U173" s="210">
        <f t="shared" si="103"/>
        <v>0.12487785732272795</v>
      </c>
      <c r="V173" s="210">
        <f t="shared" si="103"/>
        <v>0.1193918402101416</v>
      </c>
      <c r="W173" s="210">
        <f t="shared" si="103"/>
        <v>0.11469323165270442</v>
      </c>
      <c r="X173" s="210">
        <f t="shared" si="103"/>
        <v>0.10759779808478599</v>
      </c>
      <c r="Y173" s="210">
        <f t="shared" si="103"/>
        <v>0.10523508578113225</v>
      </c>
      <c r="Z173" s="210">
        <f t="shared" si="103"/>
        <v>0.10345402789993154</v>
      </c>
      <c r="AA173" s="210">
        <f t="shared" si="103"/>
        <v>0.1015842672460153</v>
      </c>
      <c r="AB173" s="210">
        <f t="shared" si="103"/>
        <v>0.099962434551624</v>
      </c>
      <c r="AC173" s="210">
        <f t="shared" si="103"/>
        <v>0.09848368201846211</v>
      </c>
      <c r="AD173" s="210">
        <f t="shared" si="103"/>
        <v>0.09713226079145566</v>
      </c>
      <c r="AE173" s="210">
        <f t="shared" si="103"/>
        <v>0.09597543825526696</v>
      </c>
      <c r="AF173" s="210">
        <f t="shared" si="103"/>
        <v>0.09476231544324921</v>
      </c>
    </row>
    <row r="174" spans="1:32" s="91" customFormat="1" ht="15">
      <c r="A174" s="177" t="s">
        <v>44</v>
      </c>
      <c r="B174" s="89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8"/>
      <c r="X174" s="149"/>
      <c r="Y174" s="149"/>
      <c r="Z174" s="149"/>
      <c r="AA174" s="149"/>
      <c r="AB174" s="149"/>
      <c r="AC174" s="149"/>
      <c r="AD174" s="149"/>
      <c r="AE174" s="149"/>
      <c r="AF174" s="149"/>
    </row>
    <row r="175" spans="1:32" s="16" customFormat="1" ht="15">
      <c r="A175" s="226" t="s">
        <v>46</v>
      </c>
      <c r="B175" s="191"/>
      <c r="C175" s="220">
        <f aca="true" t="shared" si="104" ref="C175:AF175">SUM(C176:C180)</f>
        <v>673.8827777777778</v>
      </c>
      <c r="D175" s="220">
        <f t="shared" si="104"/>
        <v>1022.4145246621962</v>
      </c>
      <c r="E175" s="220">
        <f t="shared" si="104"/>
        <v>1444.0453993783547</v>
      </c>
      <c r="F175" s="220">
        <f t="shared" si="104"/>
        <v>1914.6048083425796</v>
      </c>
      <c r="G175" s="220">
        <f t="shared" si="104"/>
        <v>2447.646708269272</v>
      </c>
      <c r="H175" s="220">
        <f t="shared" si="104"/>
        <v>3043.586363314943</v>
      </c>
      <c r="I175" s="220">
        <f t="shared" si="104"/>
        <v>3705.3162808450015</v>
      </c>
      <c r="J175" s="220">
        <f t="shared" si="104"/>
        <v>4435.988800299724</v>
      </c>
      <c r="K175" s="220">
        <f t="shared" si="104"/>
        <v>5240.149890315701</v>
      </c>
      <c r="L175" s="220">
        <f t="shared" si="104"/>
        <v>24751.961424524183</v>
      </c>
      <c r="M175" s="220">
        <f t="shared" si="104"/>
        <v>7090.639918967193</v>
      </c>
      <c r="N175" s="220">
        <f t="shared" si="104"/>
        <v>8503.267893030128</v>
      </c>
      <c r="O175" s="220">
        <f t="shared" si="104"/>
        <v>10048.273188339232</v>
      </c>
      <c r="P175" s="220">
        <f t="shared" si="104"/>
        <v>11730.088330755862</v>
      </c>
      <c r="Q175" s="220">
        <f t="shared" si="104"/>
        <v>13552.939323414801</v>
      </c>
      <c r="R175" s="220">
        <f t="shared" si="104"/>
        <v>15526.218194597264</v>
      </c>
      <c r="S175" s="220">
        <f t="shared" si="104"/>
        <v>17658.536947688714</v>
      </c>
      <c r="T175" s="220">
        <f t="shared" si="104"/>
        <v>19959.192528344433</v>
      </c>
      <c r="U175" s="220">
        <f t="shared" si="104"/>
        <v>22440.47119883994</v>
      </c>
      <c r="V175" s="220">
        <f t="shared" si="104"/>
        <v>25108.975560330135</v>
      </c>
      <c r="W175" s="220">
        <f t="shared" si="104"/>
        <v>27978.507455304265</v>
      </c>
      <c r="X175" s="220">
        <f t="shared" si="104"/>
        <v>30979.341461065298</v>
      </c>
      <c r="Y175" s="220">
        <f t="shared" si="104"/>
        <v>34230.033671315505</v>
      </c>
      <c r="Z175" s="220">
        <f t="shared" si="104"/>
        <v>37761.95287826335</v>
      </c>
      <c r="AA175" s="220">
        <f t="shared" si="104"/>
        <v>41588.77897403999</v>
      </c>
      <c r="AB175" s="220">
        <f t="shared" si="104"/>
        <v>45736.995119896805</v>
      </c>
      <c r="AC175" s="220">
        <f t="shared" si="104"/>
        <v>50232.32351680128</v>
      </c>
      <c r="AD175" s="220">
        <f t="shared" si="104"/>
        <v>55102.55008053929</v>
      </c>
      <c r="AE175" s="220">
        <f t="shared" si="104"/>
        <v>60382.13147007861</v>
      </c>
      <c r="AF175" s="220">
        <f t="shared" si="104"/>
        <v>66095.22561998582</v>
      </c>
    </row>
    <row r="176" spans="1:32" s="16" customFormat="1" ht="15">
      <c r="A176" s="227" t="s">
        <v>41</v>
      </c>
      <c r="B176" s="191"/>
      <c r="C176" s="220">
        <f>C169</f>
        <v>581.4827777777779</v>
      </c>
      <c r="D176" s="220">
        <f aca="true" t="shared" si="105" ref="D176:AF176">D169</f>
        <v>936.2596490972222</v>
      </c>
      <c r="E176" s="220">
        <f t="shared" si="105"/>
        <v>1357.2221496732293</v>
      </c>
      <c r="F176" s="220">
        <f t="shared" si="105"/>
        <v>1826.8839311580955</v>
      </c>
      <c r="G176" s="220">
        <f t="shared" si="105"/>
        <v>2358.965369681874</v>
      </c>
      <c r="H176" s="220">
        <f t="shared" si="105"/>
        <v>2953.877331026427</v>
      </c>
      <c r="I176" s="220">
        <f t="shared" si="105"/>
        <v>3614.5076162962896</v>
      </c>
      <c r="J176" s="220">
        <f t="shared" si="105"/>
        <v>4344.003529232602</v>
      </c>
      <c r="K176" s="220">
        <f t="shared" si="105"/>
        <v>5146.90565027388</v>
      </c>
      <c r="L176" s="220">
        <f t="shared" si="105"/>
        <v>6024.721566127306</v>
      </c>
      <c r="M176" s="220">
        <f t="shared" si="105"/>
        <v>6994.607188543313</v>
      </c>
      <c r="N176" s="220">
        <f t="shared" si="105"/>
        <v>8405.692871476576</v>
      </c>
      <c r="O176" s="220">
        <f t="shared" si="105"/>
        <v>9949.047915276931</v>
      </c>
      <c r="P176" s="220">
        <f t="shared" si="105"/>
        <v>11629.0972885792</v>
      </c>
      <c r="Q176" s="220">
        <f t="shared" si="105"/>
        <v>13450.058908285773</v>
      </c>
      <c r="R176" s="220">
        <f t="shared" si="105"/>
        <v>15421.316150409204</v>
      </c>
      <c r="S176" s="220">
        <f t="shared" si="105"/>
        <v>17551.47176040749</v>
      </c>
      <c r="T176" s="220">
        <f t="shared" si="105"/>
        <v>19849.812777953524</v>
      </c>
      <c r="U176" s="220">
        <f t="shared" si="105"/>
        <v>22328.614865921667</v>
      </c>
      <c r="V176" s="220">
        <f t="shared" si="105"/>
        <v>24994.46928410758</v>
      </c>
      <c r="W176" s="220">
        <f t="shared" si="105"/>
        <v>27861.165739746135</v>
      </c>
      <c r="X176" s="220">
        <f t="shared" si="105"/>
        <v>30858.965825418098</v>
      </c>
      <c r="Y176" s="220">
        <f t="shared" si="105"/>
        <v>34106.411741173</v>
      </c>
      <c r="Z176" s="220">
        <f t="shared" si="105"/>
        <v>37634.85741301087</v>
      </c>
      <c r="AA176" s="220">
        <f t="shared" si="105"/>
        <v>41457.96682621984</v>
      </c>
      <c r="AB176" s="220">
        <f t="shared" si="105"/>
        <v>45602.20612172924</v>
      </c>
      <c r="AC176" s="220">
        <f t="shared" si="105"/>
        <v>50093.27928876199</v>
      </c>
      <c r="AD176" s="220">
        <f t="shared" si="105"/>
        <v>54958.95275653724</v>
      </c>
      <c r="AE176" s="220">
        <f t="shared" si="105"/>
        <v>60233.66233339642</v>
      </c>
      <c r="AF176" s="220">
        <f t="shared" si="105"/>
        <v>65941.54364373589</v>
      </c>
    </row>
    <row r="177" spans="1:32" s="16" customFormat="1" ht="77.25" customHeight="1">
      <c r="A177" s="228" t="s">
        <v>228</v>
      </c>
      <c r="B177" s="191"/>
      <c r="C177" s="220">
        <f>IF('основные условия'!$J$10=1,'конкурсные предложения'!B31,'конкурсные предложения'!B34)*C12</f>
        <v>0</v>
      </c>
      <c r="D177" s="220">
        <f>IF('основные условия'!$J$10=1,'конкурсные предложения'!C31,'конкурсные предложения'!C34)</f>
        <v>0</v>
      </c>
      <c r="E177" s="220">
        <f>IF('основные условия'!$J$10=1,'конкурсные предложения'!D31,'конкурсные предложения'!D34)</f>
        <v>0</v>
      </c>
      <c r="F177" s="220">
        <f>IF('основные условия'!$J$10=1,'конкурсные предложения'!E31,'конкурсные предложения'!E34)</f>
        <v>0</v>
      </c>
      <c r="G177" s="220">
        <f>IF('основные условия'!$J$10=1,'конкурсные предложения'!F31,'конкурсные предложения'!F34)</f>
        <v>0</v>
      </c>
      <c r="H177" s="220">
        <f>IF('основные условия'!$J$10=1,'конкурсные предложения'!G31,'конкурсные предложения'!G34)</f>
        <v>0</v>
      </c>
      <c r="I177" s="220">
        <f>IF('основные условия'!$J$10=1,'конкурсные предложения'!H31,'конкурсные предложения'!H34)</f>
        <v>0</v>
      </c>
      <c r="J177" s="220">
        <f>IF('основные условия'!$J$10=1,'конкурсные предложения'!I31,'конкурсные предложения'!I34)</f>
        <v>0</v>
      </c>
      <c r="K177" s="220">
        <f>IF('основные условия'!$J$10=1,'конкурсные предложения'!J31,'конкурсные предложения'!J34)</f>
        <v>0</v>
      </c>
      <c r="L177" s="220">
        <f>IF('основные условия'!$J$10=1,'конкурсные предложения'!K31,'конкурсные предложения'!K34)</f>
        <v>0</v>
      </c>
      <c r="M177" s="220">
        <f>IF('основные условия'!$J$10=1,'конкурсные предложения'!L31,'конкурсные предложения'!L34)</f>
        <v>0</v>
      </c>
      <c r="N177" s="220">
        <f>IF('основные условия'!$J$10=1,'конкурсные предложения'!M31,'конкурсные предложения'!M34)</f>
        <v>0</v>
      </c>
      <c r="O177" s="220">
        <f>IF('основные условия'!$J$10=1,'конкурсные предложения'!N31,'конкурсные предложения'!N34)</f>
        <v>0</v>
      </c>
      <c r="P177" s="220">
        <f>IF('основные условия'!$J$10=1,'конкурсные предложения'!O31,'конкурсные предложения'!O34)</f>
        <v>0</v>
      </c>
      <c r="Q177" s="220">
        <f>IF('основные условия'!$J$10=1,'конкурсные предложения'!P31,'конкурсные предложения'!P34)</f>
        <v>0</v>
      </c>
      <c r="R177" s="220">
        <f>IF('основные условия'!$J$10=1,'конкурсные предложения'!Q31,'конкурсные предложения'!Q34)</f>
        <v>0</v>
      </c>
      <c r="S177" s="220">
        <f>IF('основные условия'!$J$10=1,'конкурсные предложения'!R31,'конкурсные предложения'!R34)</f>
        <v>0</v>
      </c>
      <c r="T177" s="220">
        <f>IF('основные условия'!$J$10=1,'конкурсные предложения'!S31,'конкурсные предложения'!S34)</f>
        <v>0</v>
      </c>
      <c r="U177" s="220">
        <f>IF('основные условия'!$J$10=1,'конкурсные предложения'!T31,'конкурсные предложения'!T34)</f>
        <v>0</v>
      </c>
      <c r="V177" s="220">
        <f>IF('основные условия'!$J$10=1,'конкурсные предложения'!U31,'конкурсные предложения'!U34)</f>
        <v>0</v>
      </c>
      <c r="W177" s="220">
        <f>IF('основные условия'!$J$10=1,'конкурсные предложения'!V31,'конкурсные предложения'!V34)</f>
        <v>0</v>
      </c>
      <c r="X177" s="220">
        <f>IF('основные условия'!$J$10=1,'конкурсные предложения'!W31,'конкурсные предложения'!W34)</f>
        <v>0</v>
      </c>
      <c r="Y177" s="220">
        <f>IF('основные условия'!$J$10=1,'конкурсные предложения'!X31,'конкурсные предложения'!X34)</f>
        <v>0</v>
      </c>
      <c r="Z177" s="220">
        <f>IF('основные условия'!$J$10=1,'конкурсные предложения'!Y31,'конкурсные предложения'!Y34)</f>
        <v>0</v>
      </c>
      <c r="AA177" s="220">
        <f>IF('основные условия'!$J$10=1,'конкурсные предложения'!Z31,'конкурсные предложения'!Z34)</f>
        <v>0</v>
      </c>
      <c r="AB177" s="220">
        <f>IF('основные условия'!$J$10=1,'конкурсные предложения'!AA31,'конкурсные предложения'!AA34)</f>
        <v>0</v>
      </c>
      <c r="AC177" s="220">
        <f>IF('основные условия'!$J$10=1,'конкурсные предложения'!AB31,'конкурсные предложения'!AB34)</f>
        <v>0</v>
      </c>
      <c r="AD177" s="220">
        <f>IF('основные условия'!$J$10=1,'конкурсные предложения'!AC31,'конкурсные предложения'!AC34)</f>
        <v>0</v>
      </c>
      <c r="AE177" s="220">
        <f>IF('основные условия'!$J$10=1,'конкурсные предложения'!AD31,'конкурсные предложения'!AD34)</f>
        <v>0</v>
      </c>
      <c r="AF177" s="220">
        <f>IF('основные условия'!$J$10=1,'конкурсные предложения'!AE31,'конкурсные предложения'!AE34)</f>
        <v>0</v>
      </c>
    </row>
    <row r="178" spans="1:32" s="170" customFormat="1" ht="60.75" customHeight="1">
      <c r="A178" s="229" t="s">
        <v>229</v>
      </c>
      <c r="B178" s="218"/>
      <c r="C178" s="221">
        <f>'конкурсные предложения'!B32*C8</f>
        <v>81.4</v>
      </c>
      <c r="D178" s="221">
        <f>'конкурсные предложения'!C32</f>
        <v>74</v>
      </c>
      <c r="E178" s="221">
        <f>'конкурсные предложения'!D32</f>
        <v>74</v>
      </c>
      <c r="F178" s="221">
        <f>'конкурсные предложения'!E32</f>
        <v>74</v>
      </c>
      <c r="G178" s="221">
        <f>'конкурсные предложения'!F32</f>
        <v>74</v>
      </c>
      <c r="H178" s="221">
        <f>'конкурсные предложения'!G32</f>
        <v>74</v>
      </c>
      <c r="I178" s="221">
        <f>'конкурсные предложения'!H32</f>
        <v>74</v>
      </c>
      <c r="J178" s="221">
        <f>'конкурсные предложения'!I32</f>
        <v>74</v>
      </c>
      <c r="K178" s="221">
        <f>'конкурсные предложения'!J32</f>
        <v>74</v>
      </c>
      <c r="L178" s="221">
        <f>'конкурсные предложения'!K32</f>
        <v>74</v>
      </c>
      <c r="M178" s="221">
        <f>'конкурсные предложения'!L32</f>
        <v>74</v>
      </c>
      <c r="N178" s="221">
        <f>'конкурсные предложения'!M32</f>
        <v>74</v>
      </c>
      <c r="O178" s="221">
        <f>'конкурсные предложения'!N32</f>
        <v>74</v>
      </c>
      <c r="P178" s="221">
        <f>'конкурсные предложения'!O32</f>
        <v>74</v>
      </c>
      <c r="Q178" s="221">
        <f>'конкурсные предложения'!P32</f>
        <v>74</v>
      </c>
      <c r="R178" s="221">
        <f>'конкурсные предложения'!Q32</f>
        <v>74</v>
      </c>
      <c r="S178" s="221">
        <f>'конкурсные предложения'!R32</f>
        <v>74</v>
      </c>
      <c r="T178" s="221">
        <f>'конкурсные предложения'!S32</f>
        <v>74</v>
      </c>
      <c r="U178" s="221">
        <f>'конкурсные предложения'!T32</f>
        <v>74</v>
      </c>
      <c r="V178" s="221">
        <f>'конкурсные предложения'!U32</f>
        <v>74</v>
      </c>
      <c r="W178" s="221">
        <f>'конкурсные предложения'!V32</f>
        <v>74</v>
      </c>
      <c r="X178" s="221">
        <f>'конкурсные предложения'!W32</f>
        <v>74</v>
      </c>
      <c r="Y178" s="221">
        <f>'конкурсные предложения'!X32</f>
        <v>74</v>
      </c>
      <c r="Z178" s="221">
        <f>'конкурсные предложения'!Y32</f>
        <v>74</v>
      </c>
      <c r="AA178" s="221">
        <f>'конкурсные предложения'!Z32</f>
        <v>74</v>
      </c>
      <c r="AB178" s="221">
        <f>'конкурсные предложения'!AA32</f>
        <v>74</v>
      </c>
      <c r="AC178" s="221">
        <f>'конкурсные предложения'!AB32</f>
        <v>74</v>
      </c>
      <c r="AD178" s="221">
        <f>'конкурсные предложения'!AC32</f>
        <v>74</v>
      </c>
      <c r="AE178" s="221">
        <f>'конкурсные предложения'!AD32</f>
        <v>74</v>
      </c>
      <c r="AF178" s="221">
        <f>'конкурсные предложения'!AE32</f>
        <v>74</v>
      </c>
    </row>
    <row r="179" spans="1:32" s="170" customFormat="1" ht="15" customHeight="1">
      <c r="A179" s="229" t="s">
        <v>224</v>
      </c>
      <c r="B179" s="218"/>
      <c r="C179" s="221">
        <f>'конкурсные предложения'!B33*(C8*C12)^(1/2)</f>
        <v>11</v>
      </c>
      <c r="D179" s="221">
        <f>'конкурсные предложения'!C33*(D8*D12)^(1/2)</f>
        <v>12.154875564973919</v>
      </c>
      <c r="E179" s="221">
        <f>'конкурсные предложения'!D33*(E8*E12)^(1/2)</f>
        <v>12.823249705125455</v>
      </c>
      <c r="F179" s="221">
        <f>'конкурсные предложения'!E33*(F8*F12)^(1/2)</f>
        <v>13.720877184484237</v>
      </c>
      <c r="G179" s="221">
        <f>'конкурсные предложения'!F33*(G8*G12)^(1/2)</f>
        <v>14.681338587398136</v>
      </c>
      <c r="H179" s="221">
        <f>'конкурсные предложения'!G33*(H8*H12)^(1/2)</f>
        <v>15.709032288516005</v>
      </c>
      <c r="I179" s="221">
        <f>'конкурсные предложения'!H33*(I8*I12)^(1/2)</f>
        <v>16.80866454871213</v>
      </c>
      <c r="J179" s="221">
        <f>'конкурсные предложения'!I33*(J8*J12)^(1/2)</f>
        <v>17.985271067121978</v>
      </c>
      <c r="K179" s="221">
        <f>'конкурсные предложения'!J33*(K8*K12)^(1/2)</f>
        <v>19.244240041820518</v>
      </c>
      <c r="L179" s="221">
        <f>'конкурсные предложения'!K33*(L8*L12)^(1/2)</f>
        <v>20.591336844747957</v>
      </c>
      <c r="M179" s="221">
        <f>'конкурсные предложения'!L33*(M8*M12)^(1/2)</f>
        <v>22.03273042388031</v>
      </c>
      <c r="N179" s="221">
        <f>'конкурсные предложения'!M33*(N8*N12)^(1/2)</f>
        <v>23.575021553551938</v>
      </c>
      <c r="O179" s="221">
        <f>'конкурсные предложения'!N33*(O8*O12)^(1/2)</f>
        <v>25.22527306230057</v>
      </c>
      <c r="P179" s="221">
        <f>'конкурсные предложения'!O33*(P8*P12)^(1/2)</f>
        <v>26.99104217666161</v>
      </c>
      <c r="Q179" s="221">
        <f>'конкурсные предложения'!P33*(Q8*Q12)^(1/2)</f>
        <v>28.88041512902793</v>
      </c>
      <c r="R179" s="221">
        <f>'конкурсные предложения'!Q33*(R8*R12)^(1/2)</f>
        <v>30.902044188059886</v>
      </c>
      <c r="S179" s="221">
        <f>'конкурсные предложения'!R33*(S8*S12)^(1/2)</f>
        <v>33.06518728122408</v>
      </c>
      <c r="T179" s="221">
        <f>'конкурсные предложения'!S33*(T8*T12)^(1/2)</f>
        <v>35.37975039090976</v>
      </c>
      <c r="U179" s="221">
        <f>'конкурсные предложения'!T33*(U8*U12)^(1/2)</f>
        <v>37.85633291827345</v>
      </c>
      <c r="V179" s="221">
        <f>'конкурсные предложения'!U33*(V8*V12)^(1/2)</f>
        <v>40.50627622255259</v>
      </c>
      <c r="W179" s="221">
        <f>'конкурсные предложения'!V33*(W8*W12)^(1/2)</f>
        <v>43.34171555813128</v>
      </c>
      <c r="X179" s="221">
        <f>'конкурсные предложения'!W33*(X8*X12)^(1/2)</f>
        <v>46.37563564720047</v>
      </c>
      <c r="Y179" s="221">
        <f>'конкурсные предложения'!X33*(Y8*Y12)^(1/2)</f>
        <v>49.621930142504496</v>
      </c>
      <c r="Z179" s="221">
        <f>'конкурсные предложения'!Y33*(Z8*Z12)^(1/2)</f>
        <v>53.09546525247982</v>
      </c>
      <c r="AA179" s="221">
        <f>'конкурсные предложения'!Z33*(AA8*AA12)^(1/2)</f>
        <v>56.81214782015341</v>
      </c>
      <c r="AB179" s="221">
        <f>'конкурсные предложения'!AA33*(AB8*AB12)^(1/2)</f>
        <v>60.78899816756416</v>
      </c>
      <c r="AC179" s="221">
        <f>'конкурсные предложения'!AB33*(AC8*AC12)^(1/2)</f>
        <v>65.04422803929364</v>
      </c>
      <c r="AD179" s="221">
        <f>'конкурсные предложения'!AC33*(AD8*AD12)^(1/2)</f>
        <v>69.59732400204422</v>
      </c>
      <c r="AE179" s="221">
        <f>'конкурсные предложения'!AD33*(AE8*AE12)^(1/2)</f>
        <v>74.4691366821873</v>
      </c>
      <c r="AF179" s="221">
        <f>'конкурсные предложения'!AE33*(AF8*AF12)^(1/2)</f>
        <v>79.68197624994042</v>
      </c>
    </row>
    <row r="180" spans="1:32" s="16" customFormat="1" ht="62.25" customHeight="1">
      <c r="A180" s="227" t="s">
        <v>45</v>
      </c>
      <c r="B180" s="191"/>
      <c r="C180" s="220">
        <f>IF(C$5='основные условия'!$E$19,C102,0)</f>
        <v>0</v>
      </c>
      <c r="D180" s="220">
        <f>IF(D$5='основные условия'!$E$19,D102,0)</f>
        <v>0</v>
      </c>
      <c r="E180" s="220">
        <f>IF(E$5='основные условия'!$E$19,E102,0)</f>
        <v>0</v>
      </c>
      <c r="F180" s="220">
        <f>IF(F$5='основные условия'!$E$19,F102,0)</f>
        <v>0</v>
      </c>
      <c r="G180" s="220">
        <f>IF(G$5='основные условия'!$E$19,G102,0)</f>
        <v>0</v>
      </c>
      <c r="H180" s="220">
        <f>IF(H$5='основные условия'!$E$19,H102,0)</f>
        <v>0</v>
      </c>
      <c r="I180" s="220">
        <f>IF(I$5='основные условия'!$E$19,I102,0)</f>
        <v>0</v>
      </c>
      <c r="J180" s="220">
        <f>IF(J$5='основные условия'!$E$19,J102,0)</f>
        <v>0</v>
      </c>
      <c r="K180" s="220">
        <f>IF(K$5='основные условия'!$E$19,K102,0)</f>
        <v>0</v>
      </c>
      <c r="L180" s="220">
        <f>IF(L$5='основные условия'!$E$19,L102,0)</f>
        <v>18632.648521552128</v>
      </c>
      <c r="M180" s="220">
        <f>IF(M$5='основные условия'!$E$19,M102,0)</f>
        <v>0</v>
      </c>
      <c r="N180" s="220">
        <f>IF(N$5='основные условия'!$E$19,N102,0)</f>
        <v>0</v>
      </c>
      <c r="O180" s="220">
        <f>IF(O$5='основные условия'!$E$19,O102,0)</f>
        <v>0</v>
      </c>
      <c r="P180" s="220">
        <f>IF(P$5='основные условия'!$E$19,P102,0)</f>
        <v>0</v>
      </c>
      <c r="Q180" s="220">
        <f>IF(Q$5='основные условия'!$E$19,Q102,0)</f>
        <v>0</v>
      </c>
      <c r="R180" s="220">
        <f>IF(R$5='основные условия'!$E$19,R102,0)</f>
        <v>0</v>
      </c>
      <c r="S180" s="220">
        <f>IF(S$5='основные условия'!$E$19,S102,0)</f>
        <v>0</v>
      </c>
      <c r="T180" s="220">
        <f>IF(T$5='основные условия'!$E$19,T102,0)</f>
        <v>0</v>
      </c>
      <c r="U180" s="220">
        <f>IF(U$5='основные условия'!$E$19,U102,0)</f>
        <v>0</v>
      </c>
      <c r="V180" s="220">
        <f>IF(V$5='основные условия'!$E$19,V102,0)</f>
        <v>0</v>
      </c>
      <c r="W180" s="220">
        <f>IF(W$5='основные условия'!$E$19,W102,0)</f>
        <v>0</v>
      </c>
      <c r="X180" s="220">
        <f>IF(X$5='основные условия'!$E$19,X102,0)</f>
        <v>0</v>
      </c>
      <c r="Y180" s="220">
        <f>IF(Y$5='основные условия'!$E$19,Y102,0)</f>
        <v>0</v>
      </c>
      <c r="Z180" s="220">
        <f>IF(Z$5='основные условия'!$E$19,Z102,0)</f>
        <v>0</v>
      </c>
      <c r="AA180" s="220">
        <f>IF(AA$5='основные условия'!$E$19,AA102,0)</f>
        <v>0</v>
      </c>
      <c r="AB180" s="220">
        <f>IF(AB$5='основные условия'!$E$19,AB102,0)</f>
        <v>0</v>
      </c>
      <c r="AC180" s="220">
        <f>IF(AC$5='основные условия'!$E$19,AC102,0)</f>
        <v>0</v>
      </c>
      <c r="AD180" s="220">
        <f>IF(AD$5='основные условия'!$E$19,AD102,0)</f>
        <v>0</v>
      </c>
      <c r="AE180" s="220">
        <f>IF(AE$5='основные условия'!$E$19,AE102,0)</f>
        <v>0</v>
      </c>
      <c r="AF180" s="220">
        <f>IF(AF$5='основные условия'!$E$19,AF102,0)</f>
        <v>0</v>
      </c>
    </row>
    <row r="181" spans="1:32" s="16" customFormat="1" ht="15">
      <c r="A181" s="226" t="s">
        <v>44</v>
      </c>
      <c r="B181" s="191"/>
      <c r="C181" s="220">
        <f>C175/((1+'конкурсная документация'!$B$8)^(C$5-1))</f>
        <v>673.8827777777778</v>
      </c>
      <c r="D181" s="220">
        <f>D175/((1+'конкурсная документация'!$B$8)^(D$5-1))</f>
        <v>923.5903565150824</v>
      </c>
      <c r="E181" s="220">
        <f>E175/((1+'конкурсная документация'!$B$8)^(E$5-1))</f>
        <v>1178.380658336948</v>
      </c>
      <c r="F181" s="220">
        <f>F175/((1+'конкурсная документация'!$B$8)^(F$5-1))</f>
        <v>1411.3550535130553</v>
      </c>
      <c r="G181" s="220">
        <f>G175/((1+'конкурсная документация'!$B$8)^(G$5-1))</f>
        <v>1629.8898254922585</v>
      </c>
      <c r="H181" s="220">
        <f>H175/((1+'конкурсная документация'!$B$8)^(H$5-1))</f>
        <v>1830.8279133850203</v>
      </c>
      <c r="I181" s="220">
        <f>I175/((1+'конкурсная документация'!$B$8)^(I$5-1))</f>
        <v>2013.4440202154744</v>
      </c>
      <c r="J181" s="220">
        <f>J175/((1+'конкурсная документация'!$B$8)^(J$5-1))</f>
        <v>2177.494641016578</v>
      </c>
      <c r="K181" s="220">
        <f>K175/((1+'конкурсная документация'!$B$8)^(K$5-1))</f>
        <v>2323.607356523846</v>
      </c>
      <c r="L181" s="220">
        <f>L175/((1+'конкурсная документация'!$B$8)^(L$5-1))</f>
        <v>9914.73318935449</v>
      </c>
      <c r="M181" s="220">
        <f>M175/((1+'конкурсная документация'!$B$8)^(M$5-1))</f>
        <v>2565.71978132963</v>
      </c>
      <c r="N181" s="220">
        <f>N175/((1+'конкурсная документация'!$B$8)^(N$5-1))</f>
        <v>2779.47026287752</v>
      </c>
      <c r="O181" s="220">
        <f>O175/((1+'конкурсная документация'!$B$8)^(O$5-1))</f>
        <v>2967.016649840464</v>
      </c>
      <c r="P181" s="220">
        <f>P175/((1+'конкурсная документация'!$B$8)^(P$5-1))</f>
        <v>3128.83175767542</v>
      </c>
      <c r="Q181" s="220">
        <f>Q175/((1+'конкурсная документация'!$B$8)^(Q$5-1))</f>
        <v>3265.6286812175904</v>
      </c>
      <c r="R181" s="220">
        <f>R175/((1+'конкурсная документация'!$B$8)^(R$5-1))</f>
        <v>3379.491605082861</v>
      </c>
      <c r="S181" s="220">
        <f>S175/((1+'конкурсная документация'!$B$8)^(S$5-1))</f>
        <v>3472.1044732795767</v>
      </c>
      <c r="T181" s="220">
        <f>T175/((1+'конкурсная документация'!$B$8)^(T$5-1))</f>
        <v>3545.1401800075582</v>
      </c>
      <c r="U181" s="220">
        <f>U175/((1+'конкурсная документация'!$B$8)^(U$5-1))</f>
        <v>3600.599327701172</v>
      </c>
      <c r="V181" s="220">
        <f>V175/((1+'конкурсная документация'!$B$8)^(V$5-1))</f>
        <v>3639.353126873243</v>
      </c>
      <c r="W181" s="220">
        <f>W175/((1+'конкурсная документация'!$B$8)^(W$5-1))</f>
        <v>3663.296957592319</v>
      </c>
      <c r="X181" s="220">
        <f>X175/((1+'конкурсная документация'!$B$8)^(X$5-1))</f>
        <v>3664.140710520118</v>
      </c>
      <c r="Y181" s="220">
        <f>Y175/((1+'конкурсная документация'!$B$8)^(Y$5-1))</f>
        <v>3657.2922610884393</v>
      </c>
      <c r="Z181" s="220">
        <f>Z175/((1+'конкурсная документация'!$B$8)^(Z$5-1))</f>
        <v>3644.6780037848507</v>
      </c>
      <c r="AA181" s="220">
        <f>AA175/((1+'конкурсная документация'!$B$8)^(AA$5-1))</f>
        <v>3626.0456621873227</v>
      </c>
      <c r="AB181" s="220">
        <f>AB175/((1+'конкурсная документация'!$B$8)^(AB$5-1))</f>
        <v>3602.277010651804</v>
      </c>
      <c r="AC181" s="220">
        <f>AC175/((1+'конкурсная документация'!$B$8)^(AC$5-1))</f>
        <v>3573.9224472471697</v>
      </c>
      <c r="AD181" s="220">
        <f>AD175/((1+'конкурсная документация'!$B$8)^(AD$5-1))</f>
        <v>3541.489301904059</v>
      </c>
      <c r="AE181" s="220">
        <f>AE175/((1+'конкурсная документация'!$B$8)^(AE$5-1))</f>
        <v>3505.702471529438</v>
      </c>
      <c r="AF181" s="220">
        <f>AF175/((1+'конкурсная документация'!$B$8)^(AF$5-1))</f>
        <v>3466.483073564822</v>
      </c>
    </row>
    <row r="182" spans="1:32" s="66" customFormat="1" ht="21" customHeight="1">
      <c r="A182" s="62" t="s">
        <v>87</v>
      </c>
      <c r="B182" s="63"/>
      <c r="C182" s="141"/>
      <c r="D182" s="141"/>
      <c r="E182" s="141"/>
      <c r="F182" s="142"/>
      <c r="G182" s="142"/>
      <c r="H182" s="142"/>
      <c r="I182" s="142"/>
      <c r="J182" s="142"/>
      <c r="K182" s="141"/>
      <c r="L182" s="141"/>
      <c r="M182" s="141"/>
      <c r="N182" s="141"/>
      <c r="O182" s="141"/>
      <c r="P182" s="142"/>
      <c r="Q182" s="142"/>
      <c r="R182" s="142"/>
      <c r="S182" s="142"/>
      <c r="T182" s="142"/>
      <c r="U182" s="141"/>
      <c r="V182" s="141"/>
      <c r="W182" s="143"/>
      <c r="X182" s="144"/>
      <c r="Y182" s="144"/>
      <c r="Z182" s="144"/>
      <c r="AA182" s="144"/>
      <c r="AB182" s="144"/>
      <c r="AC182" s="144"/>
      <c r="AD182" s="144"/>
      <c r="AE182" s="144"/>
      <c r="AF182" s="144"/>
    </row>
    <row r="183" spans="1:32" s="236" customFormat="1" ht="15">
      <c r="A183" s="177" t="s">
        <v>0</v>
      </c>
      <c r="B183" s="87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</row>
    <row r="184" spans="1:32" s="16" customFormat="1" ht="15">
      <c r="A184" s="185" t="s">
        <v>25</v>
      </c>
      <c r="B184" s="193"/>
      <c r="C184" s="192">
        <f>'конкурсная документация'!$B$7</f>
        <v>20</v>
      </c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9"/>
      <c r="Y184" s="199"/>
      <c r="Z184" s="199"/>
      <c r="AA184" s="199"/>
      <c r="AB184" s="199"/>
      <c r="AC184" s="199"/>
      <c r="AD184" s="199"/>
      <c r="AE184" s="199"/>
      <c r="AF184" s="199"/>
    </row>
    <row r="185" spans="1:32" s="170" customFormat="1" ht="18" customHeight="1">
      <c r="A185" s="182" t="s">
        <v>14</v>
      </c>
      <c r="B185" s="218"/>
      <c r="C185" s="206">
        <f>MAX('конкурсные предложения'!B44-'конкурсная документация'!C80,0)*C8</f>
        <v>93.50000000000001</v>
      </c>
      <c r="D185" s="206">
        <f>MAX('конкурсные предложения'!C44-'конкурсная документация'!D80,0)*D8</f>
        <v>1121.0772672000003</v>
      </c>
      <c r="E185" s="206">
        <f>MAX('конкурсные предложения'!D44-'конкурсная документация'!E80,0)*E8</f>
        <v>1187.0617500000005</v>
      </c>
      <c r="F185" s="206">
        <f>MAX('конкурсные предложения'!E44-'конкурсная документация'!F80,0)*F8</f>
        <v>197.38356535951777</v>
      </c>
      <c r="G185" s="206">
        <f>MAX('конкурсные предложения'!F44-'конкурсная документация'!G80,0)*G8</f>
        <v>150.05861257555995</v>
      </c>
      <c r="H185" s="206">
        <f>MAX('конкурсные предложения'!G44-'конкурсная документация'!H80,0)*H8</f>
        <v>160.2353139906978</v>
      </c>
      <c r="I185" s="206">
        <f>MAX('конкурсные предложения'!H44-'конкурсная документация'!I80,0)*I8</f>
        <v>171.20119339917898</v>
      </c>
      <c r="J185" s="206">
        <f>MAX('конкурсные предложения'!I44-'конкурсная документация'!J80,0)*J8</f>
        <v>182.93672756460563</v>
      </c>
      <c r="K185" s="206">
        <f>MAX('конкурсные предложения'!J44-'конкурсная документация'!K80,0)*K8</f>
        <v>195.5725150473795</v>
      </c>
      <c r="L185" s="206">
        <f>MAX('конкурсные предложения'!K44-'конкурсная документация'!L80,0)*L8</f>
        <v>209.01316944461058</v>
      </c>
      <c r="M185" s="206">
        <f>MAX('конкурсные предложения'!L44-'конкурсная документация'!M80,0)*M8</f>
        <v>207.74292107766541</v>
      </c>
      <c r="N185" s="206">
        <f>MAX('конкурсные предложения'!M44-'конкурсная документация'!N80,0)*N8</f>
        <v>489.444725921036</v>
      </c>
      <c r="O185" s="206">
        <f>MAX('конкурсные предложения'!N44-'конкурсная документация'!O80,0)*O8</f>
        <v>576.8163204786767</v>
      </c>
      <c r="P185" s="206">
        <f>MAX('конкурсные предложения'!O44-'конкурсная документация'!P80,0)*P8</f>
        <v>920.6989951625065</v>
      </c>
      <c r="Q185" s="206">
        <f>MAX('конкурсные предложения'!P44-'конкурсная документация'!Q80,0)*Q8</f>
        <v>1006.7313818360446</v>
      </c>
      <c r="R185" s="206">
        <f>MAX('конкурсные предложения'!Q44-'конкурсная документация'!R80,0)*R8</f>
        <v>1227.4752464005783</v>
      </c>
      <c r="S185" s="206">
        <f>MAX('конкурсные предложения'!R44-'конкурсная документация'!S80,0)*S8</f>
        <v>1456.001984555583</v>
      </c>
      <c r="T185" s="206">
        <f>MAX('конкурсные предложения'!S44-'конкурсная документация'!T80,0)*T8</f>
        <v>1515.9563035624801</v>
      </c>
      <c r="U185" s="206">
        <f>MAX('конкурсные предложения'!T44-'конкурсная документация'!U80,0)*U8</f>
        <v>1590.2738707649364</v>
      </c>
      <c r="V185" s="206">
        <f>MAX('конкурсные предложения'!U44-'конкурсная документация'!V80,0)*V8</f>
        <v>1761.6382166010549</v>
      </c>
      <c r="W185" s="206">
        <f>MAX('конкурсные предложения'!V44-'конкурсная документация'!W80,0)*W8</f>
        <v>1834.1560247921088</v>
      </c>
      <c r="X185" s="206">
        <f>MAX('конкурсные предложения'!W44-'конкурсная документация'!X80,0)*X8</f>
        <v>1909.9054635724276</v>
      </c>
      <c r="Y185" s="206">
        <f>MAX('конкурсные предложения'!X44-'конкурсная документация'!Y80,0)*Y8</f>
        <v>1988.7429298386437</v>
      </c>
      <c r="Z185" s="206">
        <f>MAX('конкурсные предложения'!Y44-'конкурсная документация'!Z80,0)*Z8</f>
        <v>2070.809350602274</v>
      </c>
      <c r="AA185" s="206">
        <f>MAX('конкурсные предложения'!Z44-'конкурсная документация'!AA80,0)*AA8</f>
        <v>2156.295934843826</v>
      </c>
      <c r="AB185" s="206">
        <f>MAX('конкурсные предложения'!AA44-'конкурсная документация'!AB80,0)*AB8</f>
        <v>2245.283385663173</v>
      </c>
      <c r="AC185" s="206">
        <f>MAX('конкурсные предложения'!AB44-'конкурсная документация'!AC80,0)*AC8</f>
        <v>2338.0113230327843</v>
      </c>
      <c r="AD185" s="206">
        <f>MAX('конкурсные предложения'!AC44-'конкурсная документация'!AD80,0)*AD8</f>
        <v>2515.76815648876</v>
      </c>
      <c r="AE185" s="206">
        <f>MAX('конкурсные предложения'!AD44-'конкурсная документация'!AE80,0)*AE8</f>
        <v>2619.6129905052258</v>
      </c>
      <c r="AF185" s="206">
        <f>MAX('конкурсные предложения'!AE44-'конкурсная документация'!AF80,0)*AF8</f>
        <v>2727.8274353762054</v>
      </c>
    </row>
    <row r="186" spans="1:32" s="16" customFormat="1" ht="59.25" customHeight="1">
      <c r="A186" s="99" t="s">
        <v>134</v>
      </c>
      <c r="B186" s="191"/>
      <c r="C186" s="194">
        <f>IF('конкурсные предложения'!B44-'конкурсная документация'!C80&lt;0,"ошибка","")</f>
      </c>
      <c r="D186" s="194">
        <f>IF('конкурсные предложения'!C44-'конкурсная документация'!D80&lt;0,"ошибка","")</f>
      </c>
      <c r="E186" s="194">
        <f>IF('конкурсные предложения'!D44-'конкурсная документация'!E80&lt;0,"ошибка","")</f>
      </c>
      <c r="F186" s="194">
        <f>IF('конкурсные предложения'!E44-'конкурсная документация'!F80&lt;0,"ошибка","")</f>
      </c>
      <c r="G186" s="194">
        <f>IF('конкурсные предложения'!F44-'конкурсная документация'!G80&lt;0,"ошибка","")</f>
      </c>
      <c r="H186" s="194">
        <f>IF('конкурсные предложения'!G44-'конкурсная документация'!H80&lt;0,"ошибка","")</f>
      </c>
      <c r="I186" s="194">
        <f>IF('конкурсные предложения'!H44-'конкурсная документация'!I80&lt;0,"ошибка","")</f>
      </c>
      <c r="J186" s="194">
        <f>IF('конкурсные предложения'!I44-'конкурсная документация'!J80&lt;0,"ошибка","")</f>
      </c>
      <c r="K186" s="194">
        <f>IF('конкурсные предложения'!J44-'конкурсная документация'!K80&lt;0,"ошибка","")</f>
      </c>
      <c r="L186" s="194">
        <f>IF('конкурсные предложения'!K44-'конкурсная документация'!L80&lt;0,"ошибка","")</f>
      </c>
      <c r="M186" s="194">
        <f>IF('конкурсные предложения'!L44-'конкурсная документация'!M80&lt;0,"ошибка","")</f>
      </c>
      <c r="N186" s="194">
        <f>IF('конкурсные предложения'!M44-'конкурсная документация'!N80&lt;0,"ошибка","")</f>
      </c>
      <c r="O186" s="194">
        <f>IF('конкурсные предложения'!N44-'конкурсная документация'!O80&lt;0,"ошибка","")</f>
      </c>
      <c r="P186" s="194">
        <f>IF('конкурсные предложения'!O44-'конкурсная документация'!P80&lt;0,"ошибка","")</f>
      </c>
      <c r="Q186" s="194">
        <f>IF('конкурсные предложения'!P44-'конкурсная документация'!Q80&lt;0,"ошибка","")</f>
      </c>
      <c r="R186" s="194">
        <f>IF('конкурсные предложения'!Q44-'конкурсная документация'!R80&lt;0,"ошибка","")</f>
      </c>
      <c r="S186" s="194">
        <f>IF('конкурсные предложения'!R44-'конкурсная документация'!S80&lt;0,"ошибка","")</f>
      </c>
      <c r="T186" s="194">
        <f>IF('конкурсные предложения'!S44-'конкурсная документация'!T80&lt;0,"ошибка","")</f>
      </c>
      <c r="U186" s="194">
        <f>IF('конкурсные предложения'!T44-'конкурсная документация'!U80&lt;0,"ошибка","")</f>
      </c>
      <c r="V186" s="194">
        <f>IF('конкурсные предложения'!U44-'конкурсная документация'!V80&lt;0,"ошибка","")</f>
      </c>
      <c r="W186" s="194">
        <f>IF('конкурсные предложения'!V44-'конкурсная документация'!W80&lt;0,"ошибка","")</f>
      </c>
      <c r="X186" s="194">
        <f>IF('конкурсные предложения'!W44-'конкурсная документация'!X80&lt;0,"ошибка","")</f>
      </c>
      <c r="Y186" s="194">
        <f>IF('конкурсные предложения'!X44-'конкурсная документация'!Y80&lt;0,"ошибка","")</f>
      </c>
      <c r="Z186" s="194">
        <f>IF('конкурсные предложения'!Y44-'конкурсная документация'!Z80&lt;0,"ошибка","")</f>
      </c>
      <c r="AA186" s="194">
        <f>IF('конкурсные предложения'!Z44-'конкурсная документация'!AA80&lt;0,"ошибка","")</f>
      </c>
      <c r="AB186" s="194">
        <f>IF('конкурсные предложения'!AA44-'конкурсная документация'!AB80&lt;0,"ошибка","")</f>
      </c>
      <c r="AC186" s="194">
        <f>IF('конкурсные предложения'!AB44-'конкурсная документация'!AC80&lt;0,"ошибка","")</f>
      </c>
      <c r="AD186" s="194">
        <f>IF('конкурсные предложения'!AC44-'конкурсная документация'!AD80&lt;0,"ошибка","")</f>
      </c>
      <c r="AE186" s="194">
        <f>IF('конкурсные предложения'!AD44-'конкурсная документация'!AE80&lt;0,"ошибка","")</f>
      </c>
      <c r="AF186" s="194">
        <f>IF('конкурсные предложения'!AE44-'конкурсная документация'!AF80&lt;0,"ошибка","")</f>
      </c>
    </row>
    <row r="187" spans="1:32" s="16" customFormat="1" ht="60">
      <c r="A187" s="99" t="s">
        <v>35</v>
      </c>
      <c r="B187" s="193"/>
      <c r="C187" s="194">
        <f>'конкурсная документация'!C67</f>
        <v>0</v>
      </c>
      <c r="D187" s="195">
        <f aca="true" t="shared" si="106" ref="D187:W187">C188</f>
        <v>0</v>
      </c>
      <c r="E187" s="195">
        <f t="shared" si="106"/>
        <v>0</v>
      </c>
      <c r="F187" s="195">
        <f t="shared" si="106"/>
        <v>0</v>
      </c>
      <c r="G187" s="195">
        <f t="shared" si="106"/>
        <v>0</v>
      </c>
      <c r="H187" s="195">
        <f t="shared" si="106"/>
        <v>0</v>
      </c>
      <c r="I187" s="195">
        <f t="shared" si="106"/>
        <v>0</v>
      </c>
      <c r="J187" s="195">
        <f t="shared" si="106"/>
        <v>0</v>
      </c>
      <c r="K187" s="195">
        <f t="shared" si="106"/>
        <v>0</v>
      </c>
      <c r="L187" s="195">
        <f t="shared" si="106"/>
        <v>0</v>
      </c>
      <c r="M187" s="195">
        <f t="shared" si="106"/>
        <v>0</v>
      </c>
      <c r="N187" s="195">
        <f t="shared" si="106"/>
        <v>0</v>
      </c>
      <c r="O187" s="195">
        <f t="shared" si="106"/>
        <v>0</v>
      </c>
      <c r="P187" s="195">
        <f t="shared" si="106"/>
        <v>0</v>
      </c>
      <c r="Q187" s="195">
        <f t="shared" si="106"/>
        <v>0</v>
      </c>
      <c r="R187" s="195">
        <f t="shared" si="106"/>
        <v>0</v>
      </c>
      <c r="S187" s="195">
        <f t="shared" si="106"/>
        <v>0</v>
      </c>
      <c r="T187" s="195">
        <f t="shared" si="106"/>
        <v>0</v>
      </c>
      <c r="U187" s="195">
        <f t="shared" si="106"/>
        <v>0</v>
      </c>
      <c r="V187" s="195">
        <f t="shared" si="106"/>
        <v>0</v>
      </c>
      <c r="W187" s="195">
        <f t="shared" si="106"/>
        <v>0</v>
      </c>
      <c r="X187" s="195">
        <f aca="true" t="shared" si="107" ref="X187:AF187">W188</f>
        <v>0</v>
      </c>
      <c r="Y187" s="195">
        <f t="shared" si="107"/>
        <v>0</v>
      </c>
      <c r="Z187" s="195">
        <f t="shared" si="107"/>
        <v>0</v>
      </c>
      <c r="AA187" s="195">
        <f t="shared" si="107"/>
        <v>0</v>
      </c>
      <c r="AB187" s="195">
        <f t="shared" si="107"/>
        <v>0</v>
      </c>
      <c r="AC187" s="195">
        <f t="shared" si="107"/>
        <v>0</v>
      </c>
      <c r="AD187" s="195">
        <f t="shared" si="107"/>
        <v>0</v>
      </c>
      <c r="AE187" s="195">
        <f t="shared" si="107"/>
        <v>0</v>
      </c>
      <c r="AF187" s="195">
        <f t="shared" si="107"/>
        <v>0</v>
      </c>
    </row>
    <row r="188" spans="1:32" s="16" customFormat="1" ht="60">
      <c r="A188" s="99" t="s">
        <v>37</v>
      </c>
      <c r="B188" s="193"/>
      <c r="C188" s="195">
        <f>IF(C187-C189&gt;0,C187-C189,0)</f>
        <v>0</v>
      </c>
      <c r="D188" s="195">
        <f aca="true" t="shared" si="108" ref="D188:V188">IF(C188-D189&gt;0,C188-D189,0)</f>
        <v>0</v>
      </c>
      <c r="E188" s="195">
        <f t="shared" si="108"/>
        <v>0</v>
      </c>
      <c r="F188" s="195">
        <f t="shared" si="108"/>
        <v>0</v>
      </c>
      <c r="G188" s="195">
        <f t="shared" si="108"/>
        <v>0</v>
      </c>
      <c r="H188" s="195">
        <f t="shared" si="108"/>
        <v>0</v>
      </c>
      <c r="I188" s="195">
        <f t="shared" si="108"/>
        <v>0</v>
      </c>
      <c r="J188" s="195">
        <f t="shared" si="108"/>
        <v>0</v>
      </c>
      <c r="K188" s="195">
        <f t="shared" si="108"/>
        <v>0</v>
      </c>
      <c r="L188" s="195">
        <f t="shared" si="108"/>
        <v>0</v>
      </c>
      <c r="M188" s="195">
        <f t="shared" si="108"/>
        <v>0</v>
      </c>
      <c r="N188" s="195">
        <f t="shared" si="108"/>
        <v>0</v>
      </c>
      <c r="O188" s="195">
        <f t="shared" si="108"/>
        <v>0</v>
      </c>
      <c r="P188" s="195">
        <f t="shared" si="108"/>
        <v>0</v>
      </c>
      <c r="Q188" s="195">
        <f t="shared" si="108"/>
        <v>0</v>
      </c>
      <c r="R188" s="195">
        <f t="shared" si="108"/>
        <v>0</v>
      </c>
      <c r="S188" s="195">
        <f t="shared" si="108"/>
        <v>0</v>
      </c>
      <c r="T188" s="195">
        <f t="shared" si="108"/>
        <v>0</v>
      </c>
      <c r="U188" s="195">
        <f t="shared" si="108"/>
        <v>0</v>
      </c>
      <c r="V188" s="195">
        <f t="shared" si="108"/>
        <v>0</v>
      </c>
      <c r="W188" s="195">
        <f aca="true" t="shared" si="109" ref="W188:AF188">IF(W187-W189&gt;0,W187-W189,0)</f>
        <v>0</v>
      </c>
      <c r="X188" s="195">
        <f t="shared" si="109"/>
        <v>0</v>
      </c>
      <c r="Y188" s="195">
        <f t="shared" si="109"/>
        <v>0</v>
      </c>
      <c r="Z188" s="195">
        <f t="shared" si="109"/>
        <v>0</v>
      </c>
      <c r="AA188" s="195">
        <f t="shared" si="109"/>
        <v>0</v>
      </c>
      <c r="AB188" s="195">
        <f t="shared" si="109"/>
        <v>0</v>
      </c>
      <c r="AC188" s="195">
        <f t="shared" si="109"/>
        <v>0</v>
      </c>
      <c r="AD188" s="195">
        <f t="shared" si="109"/>
        <v>0</v>
      </c>
      <c r="AE188" s="195">
        <f t="shared" si="109"/>
        <v>0</v>
      </c>
      <c r="AF188" s="195">
        <f t="shared" si="109"/>
        <v>0</v>
      </c>
    </row>
    <row r="189" spans="1:32" s="16" customFormat="1" ht="45.75" customHeight="1">
      <c r="A189" s="196" t="s">
        <v>38</v>
      </c>
      <c r="B189" s="193"/>
      <c r="C189" s="195">
        <f aca="true" t="shared" si="110" ref="C189:AF189">IF($C187/$C$184*C$5&gt;$C187,0,$C187/$C$184)</f>
        <v>0</v>
      </c>
      <c r="D189" s="195">
        <f t="shared" si="110"/>
        <v>0</v>
      </c>
      <c r="E189" s="195">
        <f t="shared" si="110"/>
        <v>0</v>
      </c>
      <c r="F189" s="195">
        <f t="shared" si="110"/>
        <v>0</v>
      </c>
      <c r="G189" s="195">
        <f t="shared" si="110"/>
        <v>0</v>
      </c>
      <c r="H189" s="195">
        <f t="shared" si="110"/>
        <v>0</v>
      </c>
      <c r="I189" s="195">
        <f t="shared" si="110"/>
        <v>0</v>
      </c>
      <c r="J189" s="195">
        <f t="shared" si="110"/>
        <v>0</v>
      </c>
      <c r="K189" s="195">
        <f t="shared" si="110"/>
        <v>0</v>
      </c>
      <c r="L189" s="195">
        <f t="shared" si="110"/>
        <v>0</v>
      </c>
      <c r="M189" s="195">
        <f t="shared" si="110"/>
        <v>0</v>
      </c>
      <c r="N189" s="195">
        <f t="shared" si="110"/>
        <v>0</v>
      </c>
      <c r="O189" s="195">
        <f t="shared" si="110"/>
        <v>0</v>
      </c>
      <c r="P189" s="195">
        <f t="shared" si="110"/>
        <v>0</v>
      </c>
      <c r="Q189" s="195">
        <f t="shared" si="110"/>
        <v>0</v>
      </c>
      <c r="R189" s="195">
        <f t="shared" si="110"/>
        <v>0</v>
      </c>
      <c r="S189" s="195">
        <f t="shared" si="110"/>
        <v>0</v>
      </c>
      <c r="T189" s="195">
        <f t="shared" si="110"/>
        <v>0</v>
      </c>
      <c r="U189" s="195">
        <f t="shared" si="110"/>
        <v>0</v>
      </c>
      <c r="V189" s="195">
        <f t="shared" si="110"/>
        <v>0</v>
      </c>
      <c r="W189" s="195">
        <f t="shared" si="110"/>
        <v>0</v>
      </c>
      <c r="X189" s="195">
        <f t="shared" si="110"/>
        <v>0</v>
      </c>
      <c r="Y189" s="195">
        <f t="shared" si="110"/>
        <v>0</v>
      </c>
      <c r="Z189" s="195">
        <f t="shared" si="110"/>
        <v>0</v>
      </c>
      <c r="AA189" s="195">
        <f t="shared" si="110"/>
        <v>0</v>
      </c>
      <c r="AB189" s="195">
        <f t="shared" si="110"/>
        <v>0</v>
      </c>
      <c r="AC189" s="195">
        <f t="shared" si="110"/>
        <v>0</v>
      </c>
      <c r="AD189" s="195">
        <f t="shared" si="110"/>
        <v>0</v>
      </c>
      <c r="AE189" s="195">
        <f t="shared" si="110"/>
        <v>0</v>
      </c>
      <c r="AF189" s="195">
        <f t="shared" si="110"/>
        <v>0</v>
      </c>
    </row>
    <row r="190" spans="1:32" s="16" customFormat="1" ht="30">
      <c r="A190" s="99" t="s">
        <v>1</v>
      </c>
      <c r="B190" s="193"/>
      <c r="C190" s="195">
        <v>0</v>
      </c>
      <c r="D190" s="195">
        <f aca="true" t="shared" si="111" ref="D190:AF190">C191</f>
        <v>93.50000000000001</v>
      </c>
      <c r="E190" s="195">
        <f t="shared" si="111"/>
        <v>1209.9022672000003</v>
      </c>
      <c r="F190" s="195">
        <f t="shared" si="111"/>
        <v>2336.2351538400007</v>
      </c>
      <c r="G190" s="195">
        <f t="shared" si="111"/>
        <v>2413.5367683395184</v>
      </c>
      <c r="H190" s="195">
        <f t="shared" si="111"/>
        <v>2433.6442517871023</v>
      </c>
      <c r="I190" s="195">
        <f t="shared" si="111"/>
        <v>2456.425506021046</v>
      </c>
      <c r="J190" s="195">
        <f t="shared" si="111"/>
        <v>2482.1608739639364</v>
      </c>
      <c r="K190" s="195">
        <f t="shared" si="111"/>
        <v>2511.071716402294</v>
      </c>
      <c r="L190" s="195">
        <f t="shared" si="111"/>
        <v>2543.4715099451955</v>
      </c>
      <c r="M190" s="195">
        <f t="shared" si="111"/>
        <v>2579.533332132959</v>
      </c>
      <c r="N190" s="195">
        <f t="shared" si="111"/>
        <v>2603.8742474815467</v>
      </c>
      <c r="O190" s="195">
        <f t="shared" si="111"/>
        <v>2899.529821619622</v>
      </c>
      <c r="P190" s="195">
        <f t="shared" si="111"/>
        <v>3258.084754019286</v>
      </c>
      <c r="Q190" s="195">
        <f t="shared" si="111"/>
        <v>3931.6815450788463</v>
      </c>
      <c r="R190" s="195">
        <f t="shared" si="111"/>
        <v>4645.275773053819</v>
      </c>
      <c r="S190" s="195">
        <f t="shared" si="111"/>
        <v>5529.277296501524</v>
      </c>
      <c r="T190" s="195">
        <f t="shared" si="111"/>
        <v>6580.431795784203</v>
      </c>
      <c r="U190" s="195">
        <f t="shared" si="111"/>
        <v>7618.740514846</v>
      </c>
      <c r="V190" s="195">
        <f t="shared" si="111"/>
        <v>8655.568985932132</v>
      </c>
      <c r="W190" s="195">
        <f t="shared" si="111"/>
        <v>9784.248109316135</v>
      </c>
      <c r="X190" s="195">
        <f t="shared" si="111"/>
        <v>10897.36313006114</v>
      </c>
      <c r="Y190" s="195">
        <f t="shared" si="111"/>
        <v>11999.194788346857</v>
      </c>
      <c r="Z190" s="195">
        <f t="shared" si="111"/>
        <v>13140.422503080168</v>
      </c>
      <c r="AA190" s="195">
        <f t="shared" si="111"/>
        <v>14323.632579585177</v>
      </c>
      <c r="AB190" s="195">
        <f t="shared" si="111"/>
        <v>15498.657951069603</v>
      </c>
      <c r="AC190" s="195">
        <f t="shared" si="111"/>
        <v>16662.35890725996</v>
      </c>
      <c r="AD190" s="195">
        <f t="shared" si="111"/>
        <v>17814.535397236305</v>
      </c>
      <c r="AE190" s="195">
        <f t="shared" si="111"/>
        <v>19036.128214186945</v>
      </c>
      <c r="AF190" s="195">
        <f t="shared" si="111"/>
        <v>20244.924293707845</v>
      </c>
    </row>
    <row r="191" spans="1:32" s="16" customFormat="1" ht="30">
      <c r="A191" s="99" t="s">
        <v>2</v>
      </c>
      <c r="B191" s="193"/>
      <c r="C191" s="195">
        <f aca="true" t="shared" si="112" ref="C191:AF191">C190+C185-C221</f>
        <v>93.50000000000001</v>
      </c>
      <c r="D191" s="195">
        <f t="shared" si="112"/>
        <v>1209.9022672000003</v>
      </c>
      <c r="E191" s="195">
        <f t="shared" si="112"/>
        <v>2336.2351538400007</v>
      </c>
      <c r="F191" s="195">
        <f t="shared" si="112"/>
        <v>2413.5367683395184</v>
      </c>
      <c r="G191" s="195">
        <f t="shared" si="112"/>
        <v>2433.6442517871023</v>
      </c>
      <c r="H191" s="195">
        <f t="shared" si="112"/>
        <v>2456.425506021046</v>
      </c>
      <c r="I191" s="195">
        <f t="shared" si="112"/>
        <v>2482.1608739639364</v>
      </c>
      <c r="J191" s="195">
        <f t="shared" si="112"/>
        <v>2511.071716402294</v>
      </c>
      <c r="K191" s="195">
        <f t="shared" si="112"/>
        <v>2543.4715099451955</v>
      </c>
      <c r="L191" s="195">
        <f t="shared" si="112"/>
        <v>2579.533332132959</v>
      </c>
      <c r="M191" s="195">
        <f t="shared" si="112"/>
        <v>2603.8742474815467</v>
      </c>
      <c r="N191" s="195">
        <f t="shared" si="112"/>
        <v>2899.529821619622</v>
      </c>
      <c r="O191" s="195">
        <f t="shared" si="112"/>
        <v>3258.084754019286</v>
      </c>
      <c r="P191" s="195">
        <f t="shared" si="112"/>
        <v>3931.6815450788463</v>
      </c>
      <c r="Q191" s="195">
        <f t="shared" si="112"/>
        <v>4645.275773053819</v>
      </c>
      <c r="R191" s="195">
        <f t="shared" si="112"/>
        <v>5529.277296501524</v>
      </c>
      <c r="S191" s="195">
        <f t="shared" si="112"/>
        <v>6580.431795784203</v>
      </c>
      <c r="T191" s="195">
        <f t="shared" si="112"/>
        <v>7618.740514846</v>
      </c>
      <c r="U191" s="195">
        <f t="shared" si="112"/>
        <v>8655.568985932132</v>
      </c>
      <c r="V191" s="195">
        <f t="shared" si="112"/>
        <v>9784.248109316135</v>
      </c>
      <c r="W191" s="195">
        <f t="shared" si="112"/>
        <v>10897.36313006114</v>
      </c>
      <c r="X191" s="195">
        <f t="shared" si="112"/>
        <v>11999.194788346857</v>
      </c>
      <c r="Y191" s="195">
        <f t="shared" si="112"/>
        <v>13140.422503080168</v>
      </c>
      <c r="Z191" s="195">
        <f t="shared" si="112"/>
        <v>14323.632579585177</v>
      </c>
      <c r="AA191" s="195">
        <f t="shared" si="112"/>
        <v>15498.657951069603</v>
      </c>
      <c r="AB191" s="195">
        <f t="shared" si="112"/>
        <v>16662.35890725996</v>
      </c>
      <c r="AC191" s="195">
        <f t="shared" si="112"/>
        <v>17814.535397236305</v>
      </c>
      <c r="AD191" s="195">
        <f t="shared" si="112"/>
        <v>19036.128214186945</v>
      </c>
      <c r="AE191" s="195">
        <f t="shared" si="112"/>
        <v>20244.924293707845</v>
      </c>
      <c r="AF191" s="195">
        <f t="shared" si="112"/>
        <v>21440.732794326832</v>
      </c>
    </row>
    <row r="192" spans="1:32" s="16" customFormat="1" ht="15">
      <c r="A192" s="197" t="s">
        <v>158</v>
      </c>
      <c r="B192" s="180"/>
      <c r="C192" s="198"/>
      <c r="D192" s="198">
        <f aca="true" t="shared" si="113" ref="D192:AF192">IF($C$185/$C$184*(D$5-$C$5)&gt;$C$185,0,$C$185/$C$184)</f>
        <v>4.675000000000001</v>
      </c>
      <c r="E192" s="198">
        <f t="shared" si="113"/>
        <v>4.675000000000001</v>
      </c>
      <c r="F192" s="198">
        <f t="shared" si="113"/>
        <v>4.675000000000001</v>
      </c>
      <c r="G192" s="198">
        <f t="shared" si="113"/>
        <v>4.675000000000001</v>
      </c>
      <c r="H192" s="198">
        <f t="shared" si="113"/>
        <v>4.675000000000001</v>
      </c>
      <c r="I192" s="198">
        <f t="shared" si="113"/>
        <v>4.675000000000001</v>
      </c>
      <c r="J192" s="198">
        <f t="shared" si="113"/>
        <v>4.675000000000001</v>
      </c>
      <c r="K192" s="198">
        <f t="shared" si="113"/>
        <v>4.675000000000001</v>
      </c>
      <c r="L192" s="198">
        <f t="shared" si="113"/>
        <v>4.675000000000001</v>
      </c>
      <c r="M192" s="198">
        <f t="shared" si="113"/>
        <v>4.675000000000001</v>
      </c>
      <c r="N192" s="198">
        <f t="shared" si="113"/>
        <v>4.675000000000001</v>
      </c>
      <c r="O192" s="198">
        <f t="shared" si="113"/>
        <v>4.675000000000001</v>
      </c>
      <c r="P192" s="198">
        <f t="shared" si="113"/>
        <v>4.675000000000001</v>
      </c>
      <c r="Q192" s="198">
        <f t="shared" si="113"/>
        <v>4.675000000000001</v>
      </c>
      <c r="R192" s="198">
        <f t="shared" si="113"/>
        <v>4.675000000000001</v>
      </c>
      <c r="S192" s="198">
        <f t="shared" si="113"/>
        <v>4.675000000000001</v>
      </c>
      <c r="T192" s="198">
        <f t="shared" si="113"/>
        <v>4.675000000000001</v>
      </c>
      <c r="U192" s="198">
        <f t="shared" si="113"/>
        <v>4.675000000000001</v>
      </c>
      <c r="V192" s="198">
        <f t="shared" si="113"/>
        <v>4.675000000000001</v>
      </c>
      <c r="W192" s="198">
        <f t="shared" si="113"/>
        <v>4.675000000000001</v>
      </c>
      <c r="X192" s="198">
        <f t="shared" si="113"/>
        <v>0</v>
      </c>
      <c r="Y192" s="198">
        <f t="shared" si="113"/>
        <v>0</v>
      </c>
      <c r="Z192" s="198">
        <f t="shared" si="113"/>
        <v>0</v>
      </c>
      <c r="AA192" s="198">
        <f t="shared" si="113"/>
        <v>0</v>
      </c>
      <c r="AB192" s="198">
        <f t="shared" si="113"/>
        <v>0</v>
      </c>
      <c r="AC192" s="198">
        <f t="shared" si="113"/>
        <v>0</v>
      </c>
      <c r="AD192" s="198">
        <f t="shared" si="113"/>
        <v>0</v>
      </c>
      <c r="AE192" s="198">
        <f t="shared" si="113"/>
        <v>0</v>
      </c>
      <c r="AF192" s="198">
        <f t="shared" si="113"/>
        <v>0</v>
      </c>
    </row>
    <row r="193" spans="1:32" s="16" customFormat="1" ht="15">
      <c r="A193" s="197" t="s">
        <v>159</v>
      </c>
      <c r="B193" s="180"/>
      <c r="C193" s="198"/>
      <c r="D193" s="199"/>
      <c r="E193" s="198">
        <f aca="true" t="shared" si="114" ref="E193:AF193">IF($D$185/$C$184*(E$5-$D$5)&gt;$D$185,0,$D$185/$C$184)</f>
        <v>56.053863360000015</v>
      </c>
      <c r="F193" s="198">
        <f t="shared" si="114"/>
        <v>56.053863360000015</v>
      </c>
      <c r="G193" s="198">
        <f t="shared" si="114"/>
        <v>56.053863360000015</v>
      </c>
      <c r="H193" s="198">
        <f t="shared" si="114"/>
        <v>56.053863360000015</v>
      </c>
      <c r="I193" s="198">
        <f t="shared" si="114"/>
        <v>56.053863360000015</v>
      </c>
      <c r="J193" s="198">
        <f t="shared" si="114"/>
        <v>56.053863360000015</v>
      </c>
      <c r="K193" s="198">
        <f t="shared" si="114"/>
        <v>56.053863360000015</v>
      </c>
      <c r="L193" s="198">
        <f t="shared" si="114"/>
        <v>56.053863360000015</v>
      </c>
      <c r="M193" s="198">
        <f t="shared" si="114"/>
        <v>56.053863360000015</v>
      </c>
      <c r="N193" s="198">
        <f t="shared" si="114"/>
        <v>56.053863360000015</v>
      </c>
      <c r="O193" s="198">
        <f t="shared" si="114"/>
        <v>56.053863360000015</v>
      </c>
      <c r="P193" s="198">
        <f t="shared" si="114"/>
        <v>56.053863360000015</v>
      </c>
      <c r="Q193" s="198">
        <f t="shared" si="114"/>
        <v>56.053863360000015</v>
      </c>
      <c r="R193" s="198">
        <f t="shared" si="114"/>
        <v>56.053863360000015</v>
      </c>
      <c r="S193" s="198">
        <f t="shared" si="114"/>
        <v>56.053863360000015</v>
      </c>
      <c r="T193" s="198">
        <f t="shared" si="114"/>
        <v>56.053863360000015</v>
      </c>
      <c r="U193" s="198">
        <f t="shared" si="114"/>
        <v>56.053863360000015</v>
      </c>
      <c r="V193" s="198">
        <f t="shared" si="114"/>
        <v>56.053863360000015</v>
      </c>
      <c r="W193" s="198">
        <f t="shared" si="114"/>
        <v>56.053863360000015</v>
      </c>
      <c r="X193" s="198">
        <f t="shared" si="114"/>
        <v>56.053863360000015</v>
      </c>
      <c r="Y193" s="198">
        <f t="shared" si="114"/>
        <v>0</v>
      </c>
      <c r="Z193" s="198">
        <f t="shared" si="114"/>
        <v>0</v>
      </c>
      <c r="AA193" s="198">
        <f t="shared" si="114"/>
        <v>0</v>
      </c>
      <c r="AB193" s="198">
        <f t="shared" si="114"/>
        <v>0</v>
      </c>
      <c r="AC193" s="198">
        <f t="shared" si="114"/>
        <v>0</v>
      </c>
      <c r="AD193" s="198">
        <f t="shared" si="114"/>
        <v>0</v>
      </c>
      <c r="AE193" s="198">
        <f t="shared" si="114"/>
        <v>0</v>
      </c>
      <c r="AF193" s="198">
        <f t="shared" si="114"/>
        <v>0</v>
      </c>
    </row>
    <row r="194" spans="1:32" s="16" customFormat="1" ht="15">
      <c r="A194" s="197" t="s">
        <v>160</v>
      </c>
      <c r="B194" s="180"/>
      <c r="C194" s="198"/>
      <c r="D194" s="198"/>
      <c r="E194" s="198"/>
      <c r="F194" s="198">
        <f aca="true" t="shared" si="115" ref="F194:AF194">IF($E$185/$C$184*(F$5-$E$5)&gt;$E$185,0,$E$185/$C$184)</f>
        <v>59.35308750000003</v>
      </c>
      <c r="G194" s="198">
        <f t="shared" si="115"/>
        <v>59.35308750000003</v>
      </c>
      <c r="H194" s="198">
        <f t="shared" si="115"/>
        <v>59.35308750000003</v>
      </c>
      <c r="I194" s="198">
        <f t="shared" si="115"/>
        <v>59.35308750000003</v>
      </c>
      <c r="J194" s="198">
        <f t="shared" si="115"/>
        <v>59.35308750000003</v>
      </c>
      <c r="K194" s="198">
        <f t="shared" si="115"/>
        <v>59.35308750000003</v>
      </c>
      <c r="L194" s="198">
        <f t="shared" si="115"/>
        <v>59.35308750000003</v>
      </c>
      <c r="M194" s="198">
        <f t="shared" si="115"/>
        <v>59.35308750000003</v>
      </c>
      <c r="N194" s="198">
        <f t="shared" si="115"/>
        <v>59.35308750000003</v>
      </c>
      <c r="O194" s="198">
        <f t="shared" si="115"/>
        <v>59.35308750000003</v>
      </c>
      <c r="P194" s="198">
        <f t="shared" si="115"/>
        <v>59.35308750000003</v>
      </c>
      <c r="Q194" s="198">
        <f t="shared" si="115"/>
        <v>59.35308750000003</v>
      </c>
      <c r="R194" s="198">
        <f t="shared" si="115"/>
        <v>59.35308750000003</v>
      </c>
      <c r="S194" s="198">
        <f t="shared" si="115"/>
        <v>59.35308750000003</v>
      </c>
      <c r="T194" s="198">
        <f t="shared" si="115"/>
        <v>59.35308750000003</v>
      </c>
      <c r="U194" s="198">
        <f t="shared" si="115"/>
        <v>59.35308750000003</v>
      </c>
      <c r="V194" s="198">
        <f t="shared" si="115"/>
        <v>59.35308750000003</v>
      </c>
      <c r="W194" s="198">
        <f t="shared" si="115"/>
        <v>59.35308750000003</v>
      </c>
      <c r="X194" s="198">
        <f t="shared" si="115"/>
        <v>59.35308750000003</v>
      </c>
      <c r="Y194" s="198">
        <f t="shared" si="115"/>
        <v>59.35308750000003</v>
      </c>
      <c r="Z194" s="198">
        <f t="shared" si="115"/>
        <v>0</v>
      </c>
      <c r="AA194" s="198">
        <f t="shared" si="115"/>
        <v>0</v>
      </c>
      <c r="AB194" s="198">
        <f t="shared" si="115"/>
        <v>0</v>
      </c>
      <c r="AC194" s="198">
        <f t="shared" si="115"/>
        <v>0</v>
      </c>
      <c r="AD194" s="198">
        <f t="shared" si="115"/>
        <v>0</v>
      </c>
      <c r="AE194" s="198">
        <f t="shared" si="115"/>
        <v>0</v>
      </c>
      <c r="AF194" s="198">
        <f t="shared" si="115"/>
        <v>0</v>
      </c>
    </row>
    <row r="195" spans="1:32" s="16" customFormat="1" ht="15">
      <c r="A195" s="197" t="s">
        <v>161</v>
      </c>
      <c r="B195" s="180"/>
      <c r="C195" s="198"/>
      <c r="D195" s="198"/>
      <c r="E195" s="198"/>
      <c r="F195" s="198"/>
      <c r="G195" s="198">
        <f aca="true" t="shared" si="116" ref="G195:AF195">IF($F$185/$C$184*(G$5-$F$5)&gt;$F$185,0,$F$185/$C$184)</f>
        <v>9.869178267975888</v>
      </c>
      <c r="H195" s="198">
        <f t="shared" si="116"/>
        <v>9.869178267975888</v>
      </c>
      <c r="I195" s="198">
        <f t="shared" si="116"/>
        <v>9.869178267975888</v>
      </c>
      <c r="J195" s="198">
        <f t="shared" si="116"/>
        <v>9.869178267975888</v>
      </c>
      <c r="K195" s="198">
        <f t="shared" si="116"/>
        <v>9.869178267975888</v>
      </c>
      <c r="L195" s="198">
        <f t="shared" si="116"/>
        <v>9.869178267975888</v>
      </c>
      <c r="M195" s="198">
        <f t="shared" si="116"/>
        <v>9.869178267975888</v>
      </c>
      <c r="N195" s="198">
        <f t="shared" si="116"/>
        <v>9.869178267975888</v>
      </c>
      <c r="O195" s="198">
        <f t="shared" si="116"/>
        <v>9.869178267975888</v>
      </c>
      <c r="P195" s="198">
        <f t="shared" si="116"/>
        <v>9.869178267975888</v>
      </c>
      <c r="Q195" s="198">
        <f t="shared" si="116"/>
        <v>9.869178267975888</v>
      </c>
      <c r="R195" s="198">
        <f t="shared" si="116"/>
        <v>9.869178267975888</v>
      </c>
      <c r="S195" s="198">
        <f t="shared" si="116"/>
        <v>9.869178267975888</v>
      </c>
      <c r="T195" s="198">
        <f t="shared" si="116"/>
        <v>9.869178267975888</v>
      </c>
      <c r="U195" s="198">
        <f t="shared" si="116"/>
        <v>9.869178267975888</v>
      </c>
      <c r="V195" s="198">
        <f t="shared" si="116"/>
        <v>9.869178267975888</v>
      </c>
      <c r="W195" s="198">
        <f t="shared" si="116"/>
        <v>9.869178267975888</v>
      </c>
      <c r="X195" s="198">
        <f t="shared" si="116"/>
        <v>9.869178267975888</v>
      </c>
      <c r="Y195" s="198">
        <f t="shared" si="116"/>
        <v>9.869178267975888</v>
      </c>
      <c r="Z195" s="198">
        <f t="shared" si="116"/>
        <v>9.869178267975888</v>
      </c>
      <c r="AA195" s="198">
        <f t="shared" si="116"/>
        <v>0</v>
      </c>
      <c r="AB195" s="198">
        <f t="shared" si="116"/>
        <v>0</v>
      </c>
      <c r="AC195" s="198">
        <f t="shared" si="116"/>
        <v>0</v>
      </c>
      <c r="AD195" s="198">
        <f t="shared" si="116"/>
        <v>0</v>
      </c>
      <c r="AE195" s="198">
        <f t="shared" si="116"/>
        <v>0</v>
      </c>
      <c r="AF195" s="198">
        <f t="shared" si="116"/>
        <v>0</v>
      </c>
    </row>
    <row r="196" spans="1:32" s="16" customFormat="1" ht="15">
      <c r="A196" s="197" t="s">
        <v>162</v>
      </c>
      <c r="B196" s="180"/>
      <c r="C196" s="198"/>
      <c r="D196" s="198"/>
      <c r="E196" s="198"/>
      <c r="F196" s="198"/>
      <c r="G196" s="198"/>
      <c r="H196" s="198">
        <f aca="true" t="shared" si="117" ref="H196:AF196">IF($G$185/$C$184*(H$5-$G$5)&gt;$G$185,0,$G$185/$C$184)</f>
        <v>7.502930628777998</v>
      </c>
      <c r="I196" s="198">
        <f t="shared" si="117"/>
        <v>7.502930628777998</v>
      </c>
      <c r="J196" s="198">
        <f t="shared" si="117"/>
        <v>7.502930628777998</v>
      </c>
      <c r="K196" s="198">
        <f t="shared" si="117"/>
        <v>7.502930628777998</v>
      </c>
      <c r="L196" s="198">
        <f t="shared" si="117"/>
        <v>7.502930628777998</v>
      </c>
      <c r="M196" s="198">
        <f t="shared" si="117"/>
        <v>7.502930628777998</v>
      </c>
      <c r="N196" s="198">
        <f t="shared" si="117"/>
        <v>7.502930628777998</v>
      </c>
      <c r="O196" s="198">
        <f t="shared" si="117"/>
        <v>7.502930628777998</v>
      </c>
      <c r="P196" s="198">
        <f t="shared" si="117"/>
        <v>7.502930628777998</v>
      </c>
      <c r="Q196" s="198">
        <f t="shared" si="117"/>
        <v>7.502930628777998</v>
      </c>
      <c r="R196" s="198">
        <f t="shared" si="117"/>
        <v>7.502930628777998</v>
      </c>
      <c r="S196" s="198">
        <f t="shared" si="117"/>
        <v>7.502930628777998</v>
      </c>
      <c r="T196" s="198">
        <f t="shared" si="117"/>
        <v>7.502930628777998</v>
      </c>
      <c r="U196" s="198">
        <f t="shared" si="117"/>
        <v>7.502930628777998</v>
      </c>
      <c r="V196" s="198">
        <f t="shared" si="117"/>
        <v>7.502930628777998</v>
      </c>
      <c r="W196" s="198">
        <f t="shared" si="117"/>
        <v>7.502930628777998</v>
      </c>
      <c r="X196" s="198">
        <f t="shared" si="117"/>
        <v>7.502930628777998</v>
      </c>
      <c r="Y196" s="198">
        <f t="shared" si="117"/>
        <v>7.502930628777998</v>
      </c>
      <c r="Z196" s="198">
        <f t="shared" si="117"/>
        <v>7.502930628777998</v>
      </c>
      <c r="AA196" s="198">
        <f t="shared" si="117"/>
        <v>7.502930628777998</v>
      </c>
      <c r="AB196" s="198">
        <f t="shared" si="117"/>
        <v>0</v>
      </c>
      <c r="AC196" s="198">
        <f t="shared" si="117"/>
        <v>0</v>
      </c>
      <c r="AD196" s="198">
        <f t="shared" si="117"/>
        <v>0</v>
      </c>
      <c r="AE196" s="198">
        <f t="shared" si="117"/>
        <v>0</v>
      </c>
      <c r="AF196" s="198">
        <f t="shared" si="117"/>
        <v>0</v>
      </c>
    </row>
    <row r="197" spans="1:32" s="16" customFormat="1" ht="15">
      <c r="A197" s="197" t="s">
        <v>163</v>
      </c>
      <c r="B197" s="180"/>
      <c r="C197" s="198"/>
      <c r="D197" s="198"/>
      <c r="E197" s="198"/>
      <c r="F197" s="198"/>
      <c r="G197" s="198"/>
      <c r="H197" s="198"/>
      <c r="I197" s="198">
        <f aca="true" t="shared" si="118" ref="I197:AF197">IF($H$185/$C$184*(I$5-$H$5)&gt;$H$185,0,$H$185/$C$184)</f>
        <v>8.01176569953489</v>
      </c>
      <c r="J197" s="198">
        <f t="shared" si="118"/>
        <v>8.01176569953489</v>
      </c>
      <c r="K197" s="198">
        <f t="shared" si="118"/>
        <v>8.01176569953489</v>
      </c>
      <c r="L197" s="198">
        <f t="shared" si="118"/>
        <v>8.01176569953489</v>
      </c>
      <c r="M197" s="198">
        <f t="shared" si="118"/>
        <v>8.01176569953489</v>
      </c>
      <c r="N197" s="198">
        <f t="shared" si="118"/>
        <v>8.01176569953489</v>
      </c>
      <c r="O197" s="198">
        <f t="shared" si="118"/>
        <v>8.01176569953489</v>
      </c>
      <c r="P197" s="198">
        <f t="shared" si="118"/>
        <v>8.01176569953489</v>
      </c>
      <c r="Q197" s="198">
        <f t="shared" si="118"/>
        <v>8.01176569953489</v>
      </c>
      <c r="R197" s="198">
        <f t="shared" si="118"/>
        <v>8.01176569953489</v>
      </c>
      <c r="S197" s="198">
        <f t="shared" si="118"/>
        <v>8.01176569953489</v>
      </c>
      <c r="T197" s="198">
        <f t="shared" si="118"/>
        <v>8.01176569953489</v>
      </c>
      <c r="U197" s="198">
        <f t="shared" si="118"/>
        <v>8.01176569953489</v>
      </c>
      <c r="V197" s="198">
        <f t="shared" si="118"/>
        <v>8.01176569953489</v>
      </c>
      <c r="W197" s="198">
        <f t="shared" si="118"/>
        <v>8.01176569953489</v>
      </c>
      <c r="X197" s="198">
        <f t="shared" si="118"/>
        <v>8.01176569953489</v>
      </c>
      <c r="Y197" s="198">
        <f t="shared" si="118"/>
        <v>8.01176569953489</v>
      </c>
      <c r="Z197" s="198">
        <f t="shared" si="118"/>
        <v>8.01176569953489</v>
      </c>
      <c r="AA197" s="198">
        <f t="shared" si="118"/>
        <v>8.01176569953489</v>
      </c>
      <c r="AB197" s="198">
        <f t="shared" si="118"/>
        <v>8.01176569953489</v>
      </c>
      <c r="AC197" s="198">
        <f t="shared" si="118"/>
        <v>0</v>
      </c>
      <c r="AD197" s="198">
        <f t="shared" si="118"/>
        <v>0</v>
      </c>
      <c r="AE197" s="198">
        <f t="shared" si="118"/>
        <v>0</v>
      </c>
      <c r="AF197" s="198">
        <f t="shared" si="118"/>
        <v>0</v>
      </c>
    </row>
    <row r="198" spans="1:32" s="16" customFormat="1" ht="15">
      <c r="A198" s="197" t="s">
        <v>164</v>
      </c>
      <c r="B198" s="180"/>
      <c r="C198" s="198"/>
      <c r="D198" s="198"/>
      <c r="E198" s="198"/>
      <c r="F198" s="198"/>
      <c r="G198" s="198"/>
      <c r="H198" s="198"/>
      <c r="I198" s="198"/>
      <c r="J198" s="198">
        <f aca="true" t="shared" si="119" ref="J198:AF198">IF($I$185/$C$184*(J$5-$I$5)&gt;$I$185,0,$I$185/$C$184)</f>
        <v>8.56005966995895</v>
      </c>
      <c r="K198" s="198">
        <f t="shared" si="119"/>
        <v>8.56005966995895</v>
      </c>
      <c r="L198" s="198">
        <f t="shared" si="119"/>
        <v>8.56005966995895</v>
      </c>
      <c r="M198" s="198">
        <f t="shared" si="119"/>
        <v>8.56005966995895</v>
      </c>
      <c r="N198" s="198">
        <f t="shared" si="119"/>
        <v>8.56005966995895</v>
      </c>
      <c r="O198" s="198">
        <f t="shared" si="119"/>
        <v>8.56005966995895</v>
      </c>
      <c r="P198" s="198">
        <f t="shared" si="119"/>
        <v>8.56005966995895</v>
      </c>
      <c r="Q198" s="198">
        <f t="shared" si="119"/>
        <v>8.56005966995895</v>
      </c>
      <c r="R198" s="198">
        <f t="shared" si="119"/>
        <v>8.56005966995895</v>
      </c>
      <c r="S198" s="198">
        <f t="shared" si="119"/>
        <v>8.56005966995895</v>
      </c>
      <c r="T198" s="198">
        <f t="shared" si="119"/>
        <v>8.56005966995895</v>
      </c>
      <c r="U198" s="198">
        <f t="shared" si="119"/>
        <v>8.56005966995895</v>
      </c>
      <c r="V198" s="198">
        <f t="shared" si="119"/>
        <v>8.56005966995895</v>
      </c>
      <c r="W198" s="198">
        <f t="shared" si="119"/>
        <v>8.56005966995895</v>
      </c>
      <c r="X198" s="198">
        <f t="shared" si="119"/>
        <v>8.56005966995895</v>
      </c>
      <c r="Y198" s="198">
        <f t="shared" si="119"/>
        <v>8.56005966995895</v>
      </c>
      <c r="Z198" s="198">
        <f t="shared" si="119"/>
        <v>8.56005966995895</v>
      </c>
      <c r="AA198" s="198">
        <f t="shared" si="119"/>
        <v>8.56005966995895</v>
      </c>
      <c r="AB198" s="198">
        <f t="shared" si="119"/>
        <v>8.56005966995895</v>
      </c>
      <c r="AC198" s="198">
        <f t="shared" si="119"/>
        <v>8.56005966995895</v>
      </c>
      <c r="AD198" s="198">
        <f t="shared" si="119"/>
        <v>0</v>
      </c>
      <c r="AE198" s="198">
        <f t="shared" si="119"/>
        <v>0</v>
      </c>
      <c r="AF198" s="198">
        <f t="shared" si="119"/>
        <v>0</v>
      </c>
    </row>
    <row r="199" spans="1:32" s="16" customFormat="1" ht="15">
      <c r="A199" s="197" t="s">
        <v>165</v>
      </c>
      <c r="B199" s="180"/>
      <c r="C199" s="198"/>
      <c r="D199" s="198"/>
      <c r="E199" s="198"/>
      <c r="F199" s="198"/>
      <c r="G199" s="198"/>
      <c r="H199" s="198"/>
      <c r="I199" s="198"/>
      <c r="J199" s="198"/>
      <c r="K199" s="198">
        <f aca="true" t="shared" si="120" ref="K199:AF199">IF($J$185/$C$184*(K$5-$J$5)&gt;$J$185,0,$J$185/$C$184)</f>
        <v>9.146836378230281</v>
      </c>
      <c r="L199" s="198">
        <f t="shared" si="120"/>
        <v>9.146836378230281</v>
      </c>
      <c r="M199" s="198">
        <f t="shared" si="120"/>
        <v>9.146836378230281</v>
      </c>
      <c r="N199" s="198">
        <f t="shared" si="120"/>
        <v>9.146836378230281</v>
      </c>
      <c r="O199" s="198">
        <f t="shared" si="120"/>
        <v>9.146836378230281</v>
      </c>
      <c r="P199" s="198">
        <f t="shared" si="120"/>
        <v>9.146836378230281</v>
      </c>
      <c r="Q199" s="198">
        <f t="shared" si="120"/>
        <v>9.146836378230281</v>
      </c>
      <c r="R199" s="198">
        <f t="shared" si="120"/>
        <v>9.146836378230281</v>
      </c>
      <c r="S199" s="198">
        <f t="shared" si="120"/>
        <v>9.146836378230281</v>
      </c>
      <c r="T199" s="198">
        <f t="shared" si="120"/>
        <v>9.146836378230281</v>
      </c>
      <c r="U199" s="198">
        <f t="shared" si="120"/>
        <v>9.146836378230281</v>
      </c>
      <c r="V199" s="198">
        <f t="shared" si="120"/>
        <v>9.146836378230281</v>
      </c>
      <c r="W199" s="198">
        <f t="shared" si="120"/>
        <v>9.146836378230281</v>
      </c>
      <c r="X199" s="198">
        <f t="shared" si="120"/>
        <v>9.146836378230281</v>
      </c>
      <c r="Y199" s="198">
        <f t="shared" si="120"/>
        <v>9.146836378230281</v>
      </c>
      <c r="Z199" s="198">
        <f t="shared" si="120"/>
        <v>9.146836378230281</v>
      </c>
      <c r="AA199" s="198">
        <f t="shared" si="120"/>
        <v>9.146836378230281</v>
      </c>
      <c r="AB199" s="198">
        <f t="shared" si="120"/>
        <v>9.146836378230281</v>
      </c>
      <c r="AC199" s="198">
        <f t="shared" si="120"/>
        <v>9.146836378230281</v>
      </c>
      <c r="AD199" s="198">
        <f t="shared" si="120"/>
        <v>9.146836378230281</v>
      </c>
      <c r="AE199" s="198">
        <f t="shared" si="120"/>
        <v>0</v>
      </c>
      <c r="AF199" s="198">
        <f t="shared" si="120"/>
        <v>0</v>
      </c>
    </row>
    <row r="200" spans="1:32" s="16" customFormat="1" ht="15">
      <c r="A200" s="197" t="s">
        <v>166</v>
      </c>
      <c r="B200" s="180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>
        <f aca="true" t="shared" si="121" ref="L200:AF200">IF($K$185/$C$184*(L$5-$K$5)&gt;$K$185,0,$K$185/$C$184)</f>
        <v>9.778625752368976</v>
      </c>
      <c r="M200" s="198">
        <f t="shared" si="121"/>
        <v>9.778625752368976</v>
      </c>
      <c r="N200" s="198">
        <f t="shared" si="121"/>
        <v>9.778625752368976</v>
      </c>
      <c r="O200" s="198">
        <f t="shared" si="121"/>
        <v>9.778625752368976</v>
      </c>
      <c r="P200" s="198">
        <f t="shared" si="121"/>
        <v>9.778625752368976</v>
      </c>
      <c r="Q200" s="198">
        <f t="shared" si="121"/>
        <v>9.778625752368976</v>
      </c>
      <c r="R200" s="198">
        <f t="shared" si="121"/>
        <v>9.778625752368976</v>
      </c>
      <c r="S200" s="198">
        <f t="shared" si="121"/>
        <v>9.778625752368976</v>
      </c>
      <c r="T200" s="198">
        <f t="shared" si="121"/>
        <v>9.778625752368976</v>
      </c>
      <c r="U200" s="198">
        <f t="shared" si="121"/>
        <v>9.778625752368976</v>
      </c>
      <c r="V200" s="198">
        <f t="shared" si="121"/>
        <v>9.778625752368976</v>
      </c>
      <c r="W200" s="198">
        <f t="shared" si="121"/>
        <v>9.778625752368976</v>
      </c>
      <c r="X200" s="198">
        <f t="shared" si="121"/>
        <v>9.778625752368976</v>
      </c>
      <c r="Y200" s="198">
        <f t="shared" si="121"/>
        <v>9.778625752368976</v>
      </c>
      <c r="Z200" s="198">
        <f t="shared" si="121"/>
        <v>9.778625752368976</v>
      </c>
      <c r="AA200" s="198">
        <f t="shared" si="121"/>
        <v>9.778625752368976</v>
      </c>
      <c r="AB200" s="198">
        <f t="shared" si="121"/>
        <v>9.778625752368976</v>
      </c>
      <c r="AC200" s="198">
        <f t="shared" si="121"/>
        <v>9.778625752368976</v>
      </c>
      <c r="AD200" s="198">
        <f t="shared" si="121"/>
        <v>9.778625752368976</v>
      </c>
      <c r="AE200" s="198">
        <f t="shared" si="121"/>
        <v>9.778625752368976</v>
      </c>
      <c r="AF200" s="198">
        <f t="shared" si="121"/>
        <v>0</v>
      </c>
    </row>
    <row r="201" spans="1:32" s="16" customFormat="1" ht="15" customHeight="1">
      <c r="A201" s="197" t="s">
        <v>167</v>
      </c>
      <c r="B201" s="180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>
        <f aca="true" t="shared" si="122" ref="M201:AF201">IF($L$185/$C$184*(M$5-$L$5)&gt;$L$185,0,$L$185/$C$184)</f>
        <v>10.45065847223053</v>
      </c>
      <c r="N201" s="198">
        <f t="shared" si="122"/>
        <v>10.45065847223053</v>
      </c>
      <c r="O201" s="198">
        <f t="shared" si="122"/>
        <v>10.45065847223053</v>
      </c>
      <c r="P201" s="198">
        <f t="shared" si="122"/>
        <v>10.45065847223053</v>
      </c>
      <c r="Q201" s="198">
        <f t="shared" si="122"/>
        <v>10.45065847223053</v>
      </c>
      <c r="R201" s="198">
        <f t="shared" si="122"/>
        <v>10.45065847223053</v>
      </c>
      <c r="S201" s="198">
        <f t="shared" si="122"/>
        <v>10.45065847223053</v>
      </c>
      <c r="T201" s="198">
        <f t="shared" si="122"/>
        <v>10.45065847223053</v>
      </c>
      <c r="U201" s="198">
        <f t="shared" si="122"/>
        <v>10.45065847223053</v>
      </c>
      <c r="V201" s="198">
        <f t="shared" si="122"/>
        <v>10.45065847223053</v>
      </c>
      <c r="W201" s="198">
        <f t="shared" si="122"/>
        <v>10.45065847223053</v>
      </c>
      <c r="X201" s="198">
        <f t="shared" si="122"/>
        <v>10.45065847223053</v>
      </c>
      <c r="Y201" s="198">
        <f t="shared" si="122"/>
        <v>10.45065847223053</v>
      </c>
      <c r="Z201" s="198">
        <f t="shared" si="122"/>
        <v>10.45065847223053</v>
      </c>
      <c r="AA201" s="198">
        <f t="shared" si="122"/>
        <v>10.45065847223053</v>
      </c>
      <c r="AB201" s="198">
        <f t="shared" si="122"/>
        <v>10.45065847223053</v>
      </c>
      <c r="AC201" s="198">
        <f t="shared" si="122"/>
        <v>10.45065847223053</v>
      </c>
      <c r="AD201" s="198">
        <f t="shared" si="122"/>
        <v>10.45065847223053</v>
      </c>
      <c r="AE201" s="198">
        <f t="shared" si="122"/>
        <v>10.45065847223053</v>
      </c>
      <c r="AF201" s="198">
        <f t="shared" si="122"/>
        <v>10.45065847223053</v>
      </c>
    </row>
    <row r="202" spans="1:32" s="16" customFormat="1" ht="15" customHeight="1">
      <c r="A202" s="197" t="s">
        <v>195</v>
      </c>
      <c r="B202" s="180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>
        <f aca="true" t="shared" si="123" ref="N202:AF202">IF($M$185/$C$184*(N$5-$M$5)&gt;$M$185,0,$M$185/$C$184)</f>
        <v>10.38714605388327</v>
      </c>
      <c r="O202" s="198">
        <f t="shared" si="123"/>
        <v>10.38714605388327</v>
      </c>
      <c r="P202" s="198">
        <f t="shared" si="123"/>
        <v>10.38714605388327</v>
      </c>
      <c r="Q202" s="198">
        <f t="shared" si="123"/>
        <v>10.38714605388327</v>
      </c>
      <c r="R202" s="198">
        <f t="shared" si="123"/>
        <v>10.38714605388327</v>
      </c>
      <c r="S202" s="198">
        <f t="shared" si="123"/>
        <v>10.38714605388327</v>
      </c>
      <c r="T202" s="198">
        <f t="shared" si="123"/>
        <v>10.38714605388327</v>
      </c>
      <c r="U202" s="198">
        <f t="shared" si="123"/>
        <v>10.38714605388327</v>
      </c>
      <c r="V202" s="198">
        <f t="shared" si="123"/>
        <v>10.38714605388327</v>
      </c>
      <c r="W202" s="198">
        <f t="shared" si="123"/>
        <v>10.38714605388327</v>
      </c>
      <c r="X202" s="198">
        <f t="shared" si="123"/>
        <v>10.38714605388327</v>
      </c>
      <c r="Y202" s="198">
        <f t="shared" si="123"/>
        <v>10.38714605388327</v>
      </c>
      <c r="Z202" s="198">
        <f t="shared" si="123"/>
        <v>10.38714605388327</v>
      </c>
      <c r="AA202" s="198">
        <f t="shared" si="123"/>
        <v>10.38714605388327</v>
      </c>
      <c r="AB202" s="198">
        <f t="shared" si="123"/>
        <v>10.38714605388327</v>
      </c>
      <c r="AC202" s="198">
        <f t="shared" si="123"/>
        <v>10.38714605388327</v>
      </c>
      <c r="AD202" s="198">
        <f t="shared" si="123"/>
        <v>10.38714605388327</v>
      </c>
      <c r="AE202" s="198">
        <f t="shared" si="123"/>
        <v>10.38714605388327</v>
      </c>
      <c r="AF202" s="198">
        <f t="shared" si="123"/>
        <v>10.38714605388327</v>
      </c>
    </row>
    <row r="203" spans="1:32" s="16" customFormat="1" ht="15" customHeight="1">
      <c r="A203" s="197" t="s">
        <v>196</v>
      </c>
      <c r="B203" s="180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>
        <f aca="true" t="shared" si="124" ref="O203:AF203">IF($N$185/$C$184*(O$5-$N$5)&gt;$N$185,0,$N$185/$C$184)</f>
        <v>24.4722362960518</v>
      </c>
      <c r="P203" s="198">
        <f t="shared" si="124"/>
        <v>24.4722362960518</v>
      </c>
      <c r="Q203" s="198">
        <f t="shared" si="124"/>
        <v>24.4722362960518</v>
      </c>
      <c r="R203" s="198">
        <f t="shared" si="124"/>
        <v>24.4722362960518</v>
      </c>
      <c r="S203" s="198">
        <f t="shared" si="124"/>
        <v>24.4722362960518</v>
      </c>
      <c r="T203" s="198">
        <f t="shared" si="124"/>
        <v>24.4722362960518</v>
      </c>
      <c r="U203" s="198">
        <f t="shared" si="124"/>
        <v>24.4722362960518</v>
      </c>
      <c r="V203" s="198">
        <f t="shared" si="124"/>
        <v>24.4722362960518</v>
      </c>
      <c r="W203" s="198">
        <f t="shared" si="124"/>
        <v>24.4722362960518</v>
      </c>
      <c r="X203" s="198">
        <f t="shared" si="124"/>
        <v>24.4722362960518</v>
      </c>
      <c r="Y203" s="198">
        <f t="shared" si="124"/>
        <v>24.4722362960518</v>
      </c>
      <c r="Z203" s="198">
        <f t="shared" si="124"/>
        <v>24.4722362960518</v>
      </c>
      <c r="AA203" s="198">
        <f t="shared" si="124"/>
        <v>24.4722362960518</v>
      </c>
      <c r="AB203" s="198">
        <f t="shared" si="124"/>
        <v>24.4722362960518</v>
      </c>
      <c r="AC203" s="198">
        <f t="shared" si="124"/>
        <v>24.4722362960518</v>
      </c>
      <c r="AD203" s="198">
        <f t="shared" si="124"/>
        <v>24.4722362960518</v>
      </c>
      <c r="AE203" s="198">
        <f t="shared" si="124"/>
        <v>24.4722362960518</v>
      </c>
      <c r="AF203" s="198">
        <f t="shared" si="124"/>
        <v>24.4722362960518</v>
      </c>
    </row>
    <row r="204" spans="1:32" s="16" customFormat="1" ht="15" customHeight="1">
      <c r="A204" s="197" t="s">
        <v>197</v>
      </c>
      <c r="B204" s="180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>
        <f aca="true" t="shared" si="125" ref="P204:AF204">IF($O$185/$C$184*(P$5-$O$5)&gt;$O$185,0,$O$185/$C$184)</f>
        <v>28.840816023933836</v>
      </c>
      <c r="Q204" s="198">
        <f t="shared" si="125"/>
        <v>28.840816023933836</v>
      </c>
      <c r="R204" s="198">
        <f t="shared" si="125"/>
        <v>28.840816023933836</v>
      </c>
      <c r="S204" s="198">
        <f t="shared" si="125"/>
        <v>28.840816023933836</v>
      </c>
      <c r="T204" s="198">
        <f t="shared" si="125"/>
        <v>28.840816023933836</v>
      </c>
      <c r="U204" s="198">
        <f t="shared" si="125"/>
        <v>28.840816023933836</v>
      </c>
      <c r="V204" s="198">
        <f t="shared" si="125"/>
        <v>28.840816023933836</v>
      </c>
      <c r="W204" s="198">
        <f t="shared" si="125"/>
        <v>28.840816023933836</v>
      </c>
      <c r="X204" s="198">
        <f t="shared" si="125"/>
        <v>28.840816023933836</v>
      </c>
      <c r="Y204" s="198">
        <f t="shared" si="125"/>
        <v>28.840816023933836</v>
      </c>
      <c r="Z204" s="198">
        <f t="shared" si="125"/>
        <v>28.840816023933836</v>
      </c>
      <c r="AA204" s="198">
        <f t="shared" si="125"/>
        <v>28.840816023933836</v>
      </c>
      <c r="AB204" s="198">
        <f t="shared" si="125"/>
        <v>28.840816023933836</v>
      </c>
      <c r="AC204" s="198">
        <f t="shared" si="125"/>
        <v>28.840816023933836</v>
      </c>
      <c r="AD204" s="198">
        <f t="shared" si="125"/>
        <v>28.840816023933836</v>
      </c>
      <c r="AE204" s="198">
        <f t="shared" si="125"/>
        <v>28.840816023933836</v>
      </c>
      <c r="AF204" s="198">
        <f t="shared" si="125"/>
        <v>28.840816023933836</v>
      </c>
    </row>
    <row r="205" spans="1:32" s="16" customFormat="1" ht="15" customHeight="1">
      <c r="A205" s="197" t="s">
        <v>198</v>
      </c>
      <c r="B205" s="180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>
        <f aca="true" t="shared" si="126" ref="Q205:AF205">IF($P$185/$C$184*(Q$5-$P$5)&gt;$P$185,0,$P$185/$C$184)</f>
        <v>46.03494975812533</v>
      </c>
      <c r="R205" s="198">
        <f t="shared" si="126"/>
        <v>46.03494975812533</v>
      </c>
      <c r="S205" s="198">
        <f t="shared" si="126"/>
        <v>46.03494975812533</v>
      </c>
      <c r="T205" s="198">
        <f t="shared" si="126"/>
        <v>46.03494975812533</v>
      </c>
      <c r="U205" s="198">
        <f t="shared" si="126"/>
        <v>46.03494975812533</v>
      </c>
      <c r="V205" s="198">
        <f t="shared" si="126"/>
        <v>46.03494975812533</v>
      </c>
      <c r="W205" s="198">
        <f t="shared" si="126"/>
        <v>46.03494975812533</v>
      </c>
      <c r="X205" s="198">
        <f t="shared" si="126"/>
        <v>46.03494975812533</v>
      </c>
      <c r="Y205" s="198">
        <f t="shared" si="126"/>
        <v>46.03494975812533</v>
      </c>
      <c r="Z205" s="198">
        <f t="shared" si="126"/>
        <v>46.03494975812533</v>
      </c>
      <c r="AA205" s="198">
        <f t="shared" si="126"/>
        <v>46.03494975812533</v>
      </c>
      <c r="AB205" s="198">
        <f t="shared" si="126"/>
        <v>46.03494975812533</v>
      </c>
      <c r="AC205" s="198">
        <f t="shared" si="126"/>
        <v>46.03494975812533</v>
      </c>
      <c r="AD205" s="198">
        <f t="shared" si="126"/>
        <v>46.03494975812533</v>
      </c>
      <c r="AE205" s="198">
        <f t="shared" si="126"/>
        <v>46.03494975812533</v>
      </c>
      <c r="AF205" s="198">
        <f t="shared" si="126"/>
        <v>46.03494975812533</v>
      </c>
    </row>
    <row r="206" spans="1:32" s="16" customFormat="1" ht="15" customHeight="1">
      <c r="A206" s="197" t="s">
        <v>199</v>
      </c>
      <c r="B206" s="180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>
        <f aca="true" t="shared" si="127" ref="R206:AF206">IF($Q$185/$C$184*(R$5-$Q$5)&gt;$Q$185,0,$Q$185/$C$184)</f>
        <v>50.33656909180223</v>
      </c>
      <c r="S206" s="198">
        <f t="shared" si="127"/>
        <v>50.33656909180223</v>
      </c>
      <c r="T206" s="198">
        <f t="shared" si="127"/>
        <v>50.33656909180223</v>
      </c>
      <c r="U206" s="198">
        <f t="shared" si="127"/>
        <v>50.33656909180223</v>
      </c>
      <c r="V206" s="198">
        <f t="shared" si="127"/>
        <v>50.33656909180223</v>
      </c>
      <c r="W206" s="198">
        <f t="shared" si="127"/>
        <v>50.33656909180223</v>
      </c>
      <c r="X206" s="198">
        <f t="shared" si="127"/>
        <v>50.33656909180223</v>
      </c>
      <c r="Y206" s="198">
        <f t="shared" si="127"/>
        <v>50.33656909180223</v>
      </c>
      <c r="Z206" s="198">
        <f t="shared" si="127"/>
        <v>50.33656909180223</v>
      </c>
      <c r="AA206" s="198">
        <f t="shared" si="127"/>
        <v>50.33656909180223</v>
      </c>
      <c r="AB206" s="198">
        <f t="shared" si="127"/>
        <v>50.33656909180223</v>
      </c>
      <c r="AC206" s="198">
        <f t="shared" si="127"/>
        <v>50.33656909180223</v>
      </c>
      <c r="AD206" s="198">
        <f t="shared" si="127"/>
        <v>50.33656909180223</v>
      </c>
      <c r="AE206" s="198">
        <f t="shared" si="127"/>
        <v>50.33656909180223</v>
      </c>
      <c r="AF206" s="198">
        <f t="shared" si="127"/>
        <v>50.33656909180223</v>
      </c>
    </row>
    <row r="207" spans="1:32" s="16" customFormat="1" ht="15" customHeight="1">
      <c r="A207" s="197" t="s">
        <v>200</v>
      </c>
      <c r="B207" s="180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>
        <f aca="true" t="shared" si="128" ref="S207:AF207">IF($R$185/$C$184*(S$5-$R$5)&gt;$R$185,0,$R$185/$C$184)</f>
        <v>61.373762320028916</v>
      </c>
      <c r="T207" s="198">
        <f t="shared" si="128"/>
        <v>61.373762320028916</v>
      </c>
      <c r="U207" s="198">
        <f t="shared" si="128"/>
        <v>61.373762320028916</v>
      </c>
      <c r="V207" s="198">
        <f t="shared" si="128"/>
        <v>61.373762320028916</v>
      </c>
      <c r="W207" s="198">
        <f t="shared" si="128"/>
        <v>61.373762320028916</v>
      </c>
      <c r="X207" s="198">
        <f t="shared" si="128"/>
        <v>61.373762320028916</v>
      </c>
      <c r="Y207" s="198">
        <f t="shared" si="128"/>
        <v>61.373762320028916</v>
      </c>
      <c r="Z207" s="198">
        <f t="shared" si="128"/>
        <v>61.373762320028916</v>
      </c>
      <c r="AA207" s="198">
        <f t="shared" si="128"/>
        <v>61.373762320028916</v>
      </c>
      <c r="AB207" s="198">
        <f t="shared" si="128"/>
        <v>61.373762320028916</v>
      </c>
      <c r="AC207" s="198">
        <f t="shared" si="128"/>
        <v>61.373762320028916</v>
      </c>
      <c r="AD207" s="198">
        <f t="shared" si="128"/>
        <v>61.373762320028916</v>
      </c>
      <c r="AE207" s="198">
        <f t="shared" si="128"/>
        <v>61.373762320028916</v>
      </c>
      <c r="AF207" s="198">
        <f t="shared" si="128"/>
        <v>61.373762320028916</v>
      </c>
    </row>
    <row r="208" spans="1:32" s="16" customFormat="1" ht="15" customHeight="1">
      <c r="A208" s="197" t="s">
        <v>201</v>
      </c>
      <c r="B208" s="180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>
        <f aca="true" t="shared" si="129" ref="T208:AF208">IF($S$185/$C$184*(T$5-$S$5)&gt;$S$185,0,$S$185/$C$184)</f>
        <v>72.80009922777916</v>
      </c>
      <c r="U208" s="198">
        <f t="shared" si="129"/>
        <v>72.80009922777916</v>
      </c>
      <c r="V208" s="198">
        <f t="shared" si="129"/>
        <v>72.80009922777916</v>
      </c>
      <c r="W208" s="198">
        <f t="shared" si="129"/>
        <v>72.80009922777916</v>
      </c>
      <c r="X208" s="198">
        <f t="shared" si="129"/>
        <v>72.80009922777916</v>
      </c>
      <c r="Y208" s="198">
        <f t="shared" si="129"/>
        <v>72.80009922777916</v>
      </c>
      <c r="Z208" s="198">
        <f t="shared" si="129"/>
        <v>72.80009922777916</v>
      </c>
      <c r="AA208" s="198">
        <f t="shared" si="129"/>
        <v>72.80009922777916</v>
      </c>
      <c r="AB208" s="198">
        <f t="shared" si="129"/>
        <v>72.80009922777916</v>
      </c>
      <c r="AC208" s="198">
        <f t="shared" si="129"/>
        <v>72.80009922777916</v>
      </c>
      <c r="AD208" s="198">
        <f t="shared" si="129"/>
        <v>72.80009922777916</v>
      </c>
      <c r="AE208" s="198">
        <f t="shared" si="129"/>
        <v>72.80009922777916</v>
      </c>
      <c r="AF208" s="198">
        <f t="shared" si="129"/>
        <v>72.80009922777916</v>
      </c>
    </row>
    <row r="209" spans="1:32" s="16" customFormat="1" ht="15" customHeight="1">
      <c r="A209" s="197" t="s">
        <v>202</v>
      </c>
      <c r="B209" s="180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>
        <f aca="true" t="shared" si="130" ref="U209:AF209">IF($T$185/$C$184*(U$5-$T$5)&gt;$T$185,0,$T$185/$C$184)</f>
        <v>75.79781517812401</v>
      </c>
      <c r="V209" s="198">
        <f t="shared" si="130"/>
        <v>75.79781517812401</v>
      </c>
      <c r="W209" s="198">
        <f t="shared" si="130"/>
        <v>75.79781517812401</v>
      </c>
      <c r="X209" s="198">
        <f t="shared" si="130"/>
        <v>75.79781517812401</v>
      </c>
      <c r="Y209" s="198">
        <f t="shared" si="130"/>
        <v>75.79781517812401</v>
      </c>
      <c r="Z209" s="198">
        <f t="shared" si="130"/>
        <v>75.79781517812401</v>
      </c>
      <c r="AA209" s="198">
        <f t="shared" si="130"/>
        <v>75.79781517812401</v>
      </c>
      <c r="AB209" s="198">
        <f t="shared" si="130"/>
        <v>75.79781517812401</v>
      </c>
      <c r="AC209" s="198">
        <f t="shared" si="130"/>
        <v>75.79781517812401</v>
      </c>
      <c r="AD209" s="198">
        <f t="shared" si="130"/>
        <v>75.79781517812401</v>
      </c>
      <c r="AE209" s="198">
        <f t="shared" si="130"/>
        <v>75.79781517812401</v>
      </c>
      <c r="AF209" s="198">
        <f t="shared" si="130"/>
        <v>75.79781517812401</v>
      </c>
    </row>
    <row r="210" spans="1:32" s="16" customFormat="1" ht="15" customHeight="1">
      <c r="A210" s="197" t="s">
        <v>203</v>
      </c>
      <c r="B210" s="180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>
        <f aca="true" t="shared" si="131" ref="V210:AF210">IF($U$185/$C$184*(V$5-$U$5)&gt;$U$185,0,$U$185/$C$184)</f>
        <v>79.51369353824683</v>
      </c>
      <c r="W210" s="198">
        <f t="shared" si="131"/>
        <v>79.51369353824683</v>
      </c>
      <c r="X210" s="198">
        <f t="shared" si="131"/>
        <v>79.51369353824683</v>
      </c>
      <c r="Y210" s="198">
        <f t="shared" si="131"/>
        <v>79.51369353824683</v>
      </c>
      <c r="Z210" s="198">
        <f t="shared" si="131"/>
        <v>79.51369353824683</v>
      </c>
      <c r="AA210" s="198">
        <f t="shared" si="131"/>
        <v>79.51369353824683</v>
      </c>
      <c r="AB210" s="198">
        <f t="shared" si="131"/>
        <v>79.51369353824683</v>
      </c>
      <c r="AC210" s="198">
        <f t="shared" si="131"/>
        <v>79.51369353824683</v>
      </c>
      <c r="AD210" s="198">
        <f t="shared" si="131"/>
        <v>79.51369353824683</v>
      </c>
      <c r="AE210" s="198">
        <f t="shared" si="131"/>
        <v>79.51369353824683</v>
      </c>
      <c r="AF210" s="198">
        <f t="shared" si="131"/>
        <v>79.51369353824683</v>
      </c>
    </row>
    <row r="211" spans="1:32" s="16" customFormat="1" ht="15" customHeight="1">
      <c r="A211" s="197" t="s">
        <v>204</v>
      </c>
      <c r="B211" s="180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>
        <f aca="true" t="shared" si="132" ref="W211:AF211">IF($V$185/$C$184*(W$5-$V$5)&gt;$V$185,0,$V$185/$C$184)</f>
        <v>88.08191083005275</v>
      </c>
      <c r="X211" s="198">
        <f t="shared" si="132"/>
        <v>88.08191083005275</v>
      </c>
      <c r="Y211" s="198">
        <f t="shared" si="132"/>
        <v>88.08191083005275</v>
      </c>
      <c r="Z211" s="198">
        <f t="shared" si="132"/>
        <v>88.08191083005275</v>
      </c>
      <c r="AA211" s="198">
        <f t="shared" si="132"/>
        <v>88.08191083005275</v>
      </c>
      <c r="AB211" s="198">
        <f t="shared" si="132"/>
        <v>88.08191083005275</v>
      </c>
      <c r="AC211" s="198">
        <f t="shared" si="132"/>
        <v>88.08191083005275</v>
      </c>
      <c r="AD211" s="198">
        <f t="shared" si="132"/>
        <v>88.08191083005275</v>
      </c>
      <c r="AE211" s="198">
        <f t="shared" si="132"/>
        <v>88.08191083005275</v>
      </c>
      <c r="AF211" s="198">
        <f t="shared" si="132"/>
        <v>88.08191083005275</v>
      </c>
    </row>
    <row r="212" spans="1:32" s="16" customFormat="1" ht="15" customHeight="1">
      <c r="A212" s="197" t="s">
        <v>205</v>
      </c>
      <c r="B212" s="180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>
        <f aca="true" t="shared" si="133" ref="X212:AF212">IF($W$185/$C$184*(X$5-$W$5)&gt;$W$185,0,$W$185/$C$184)</f>
        <v>91.70780123960544</v>
      </c>
      <c r="Y212" s="198">
        <f t="shared" si="133"/>
        <v>91.70780123960544</v>
      </c>
      <c r="Z212" s="198">
        <f t="shared" si="133"/>
        <v>91.70780123960544</v>
      </c>
      <c r="AA212" s="198">
        <f t="shared" si="133"/>
        <v>91.70780123960544</v>
      </c>
      <c r="AB212" s="198">
        <f t="shared" si="133"/>
        <v>91.70780123960544</v>
      </c>
      <c r="AC212" s="198">
        <f t="shared" si="133"/>
        <v>91.70780123960544</v>
      </c>
      <c r="AD212" s="198">
        <f t="shared" si="133"/>
        <v>91.70780123960544</v>
      </c>
      <c r="AE212" s="198">
        <f t="shared" si="133"/>
        <v>91.70780123960544</v>
      </c>
      <c r="AF212" s="198">
        <f t="shared" si="133"/>
        <v>91.70780123960544</v>
      </c>
    </row>
    <row r="213" spans="1:32" s="16" customFormat="1" ht="15" customHeight="1">
      <c r="A213" s="197" t="s">
        <v>206</v>
      </c>
      <c r="B213" s="180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>
        <f aca="true" t="shared" si="134" ref="Y213:AF213">IF($X$185/$C$184*(Y$5-$X$5)&gt;$X$185,0,$X$185/$C$184)</f>
        <v>95.49527317862137</v>
      </c>
      <c r="Z213" s="198">
        <f t="shared" si="134"/>
        <v>95.49527317862137</v>
      </c>
      <c r="AA213" s="198">
        <f t="shared" si="134"/>
        <v>95.49527317862137</v>
      </c>
      <c r="AB213" s="198">
        <f t="shared" si="134"/>
        <v>95.49527317862137</v>
      </c>
      <c r="AC213" s="198">
        <f t="shared" si="134"/>
        <v>95.49527317862137</v>
      </c>
      <c r="AD213" s="198">
        <f t="shared" si="134"/>
        <v>95.49527317862137</v>
      </c>
      <c r="AE213" s="198">
        <f t="shared" si="134"/>
        <v>95.49527317862137</v>
      </c>
      <c r="AF213" s="198">
        <f t="shared" si="134"/>
        <v>95.49527317862137</v>
      </c>
    </row>
    <row r="214" spans="1:32" s="16" customFormat="1" ht="15" customHeight="1">
      <c r="A214" s="197" t="s">
        <v>207</v>
      </c>
      <c r="B214" s="180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>
        <f aca="true" t="shared" si="135" ref="Z214:AF214">IF($Y$185/$C$184*(Z$5-$Y$5)&gt;$Y$185,0,$Y$185/$C$184)</f>
        <v>99.43714649193218</v>
      </c>
      <c r="AA214" s="198">
        <f t="shared" si="135"/>
        <v>99.43714649193218</v>
      </c>
      <c r="AB214" s="198">
        <f t="shared" si="135"/>
        <v>99.43714649193218</v>
      </c>
      <c r="AC214" s="198">
        <f t="shared" si="135"/>
        <v>99.43714649193218</v>
      </c>
      <c r="AD214" s="198">
        <f t="shared" si="135"/>
        <v>99.43714649193218</v>
      </c>
      <c r="AE214" s="198">
        <f t="shared" si="135"/>
        <v>99.43714649193218</v>
      </c>
      <c r="AF214" s="198">
        <f t="shared" si="135"/>
        <v>99.43714649193218</v>
      </c>
    </row>
    <row r="215" spans="1:32" s="16" customFormat="1" ht="15" customHeight="1">
      <c r="A215" s="197" t="s">
        <v>208</v>
      </c>
      <c r="B215" s="180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>
        <f aca="true" t="shared" si="136" ref="AA215:AF215">IF($Z$185/$C$184*(AA$5-$Z$5)&gt;$Z$185,0,$Z$185/$C$184)</f>
        <v>103.54046753011372</v>
      </c>
      <c r="AB215" s="198">
        <f t="shared" si="136"/>
        <v>103.54046753011372</v>
      </c>
      <c r="AC215" s="198">
        <f t="shared" si="136"/>
        <v>103.54046753011372</v>
      </c>
      <c r="AD215" s="198">
        <f t="shared" si="136"/>
        <v>103.54046753011372</v>
      </c>
      <c r="AE215" s="198">
        <f t="shared" si="136"/>
        <v>103.54046753011372</v>
      </c>
      <c r="AF215" s="198">
        <f t="shared" si="136"/>
        <v>103.54046753011372</v>
      </c>
    </row>
    <row r="216" spans="1:32" s="16" customFormat="1" ht="15" customHeight="1">
      <c r="A216" s="197" t="s">
        <v>209</v>
      </c>
      <c r="B216" s="180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>
        <f>IF($AA$185/$C$184*(AB$5-$AA$5)&gt;$AA$185,0,$AA$185/$C$184)</f>
        <v>107.8147967421913</v>
      </c>
      <c r="AC216" s="198">
        <f>IF($AA$185/$C$184*(AC$5-$AA$5)&gt;$AA$185,0,$AA$185/$C$184)</f>
        <v>107.8147967421913</v>
      </c>
      <c r="AD216" s="198">
        <f>IF($AA$185/$C$184*(AD$5-$AA$5)&gt;$AA$185,0,$AA$185/$C$184)</f>
        <v>107.8147967421913</v>
      </c>
      <c r="AE216" s="198">
        <f>IF($AA$185/$C$184*(AE$5-$AA$5)&gt;$AA$185,0,$AA$185/$C$184)</f>
        <v>107.8147967421913</v>
      </c>
      <c r="AF216" s="198">
        <f>IF($AA$185/$C$184*(AF$5-$AA$5)&gt;$AA$185,0,$AA$185/$C$184)</f>
        <v>107.8147967421913</v>
      </c>
    </row>
    <row r="217" spans="1:32" s="16" customFormat="1" ht="15" customHeight="1">
      <c r="A217" s="197" t="s">
        <v>210</v>
      </c>
      <c r="B217" s="180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>
        <f>IF($AB$185/$C$184*(AC$5-$AB$5)&gt;$AB$185,0,$AB$185/$C$184)</f>
        <v>112.26416928315864</v>
      </c>
      <c r="AD217" s="198">
        <f>IF($AB$185/$C$184*(AD$5-$AB$5)&gt;$AB$185,0,$AB$185/$C$184)</f>
        <v>112.26416928315864</v>
      </c>
      <c r="AE217" s="198">
        <f>IF($AB$185/$C$184*(AE$5-$AB$5)&gt;$AB$185,0,$AB$185/$C$184)</f>
        <v>112.26416928315864</v>
      </c>
      <c r="AF217" s="198">
        <f>IF($AB$185/$C$184*(AF$5-$AB$5)&gt;$AB$185,0,$AB$185/$C$184)</f>
        <v>112.26416928315864</v>
      </c>
    </row>
    <row r="218" spans="1:32" s="16" customFormat="1" ht="15" customHeight="1">
      <c r="A218" s="197" t="s">
        <v>211</v>
      </c>
      <c r="B218" s="180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>
        <f>IF($AC$185/$C$184*(AD$5-$AC$5)&gt;$AC$185,0,$AC$185/$C$184)</f>
        <v>116.90056615163921</v>
      </c>
      <c r="AE218" s="198">
        <f>IF($AC$185/$C$184*(AE$5-$AC$5)&gt;$AC$185,0,$AC$185/$C$184)</f>
        <v>116.90056615163921</v>
      </c>
      <c r="AF218" s="198">
        <f>IF($AC$185/$C$184*(AF$5-$AC$5)&gt;$AC$185,0,$AC$185/$C$184)</f>
        <v>116.90056615163921</v>
      </c>
    </row>
    <row r="219" spans="1:32" s="16" customFormat="1" ht="15" customHeight="1">
      <c r="A219" s="197" t="s">
        <v>212</v>
      </c>
      <c r="B219" s="180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>
        <f>IF($AD$185/$C$184*(AE$5-$AD$5)&gt;$AD$185,0,$AD$185/$C$184)</f>
        <v>125.788407824438</v>
      </c>
      <c r="AF219" s="198">
        <f>IF($AD$185/$C$184*(AF$5-$AD$5)&gt;$AD$185,0,$AD$185/$C$184)</f>
        <v>125.788407824438</v>
      </c>
    </row>
    <row r="220" spans="1:32" s="16" customFormat="1" ht="15" customHeight="1">
      <c r="A220" s="197" t="s">
        <v>213</v>
      </c>
      <c r="B220" s="180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>
        <f>IF($AE$185/$C$184*(AF$5-$AE$5)&gt;$AE$185,0,$AE$185/$C$184)</f>
        <v>130.9806495252613</v>
      </c>
    </row>
    <row r="221" spans="1:32" s="16" customFormat="1" ht="15">
      <c r="A221" s="196" t="s">
        <v>39</v>
      </c>
      <c r="B221" s="193"/>
      <c r="C221" s="195">
        <f>SUM(C192:C220)</f>
        <v>0</v>
      </c>
      <c r="D221" s="195">
        <f aca="true" t="shared" si="137" ref="D221:AC221">SUM(D192:D220)</f>
        <v>4.675000000000001</v>
      </c>
      <c r="E221" s="195">
        <f t="shared" si="137"/>
        <v>60.72886336000002</v>
      </c>
      <c r="F221" s="195">
        <f t="shared" si="137"/>
        <v>120.08195086000005</v>
      </c>
      <c r="G221" s="195">
        <f t="shared" si="137"/>
        <v>129.95112912797595</v>
      </c>
      <c r="H221" s="195">
        <f t="shared" si="137"/>
        <v>137.45405975675394</v>
      </c>
      <c r="I221" s="195">
        <f t="shared" si="137"/>
        <v>145.46582545628883</v>
      </c>
      <c r="J221" s="195">
        <f t="shared" si="137"/>
        <v>154.02588512624777</v>
      </c>
      <c r="K221" s="195">
        <f t="shared" si="137"/>
        <v>163.17272150447806</v>
      </c>
      <c r="L221" s="195">
        <f t="shared" si="137"/>
        <v>172.95134725684704</v>
      </c>
      <c r="M221" s="195">
        <f t="shared" si="137"/>
        <v>183.4020057290776</v>
      </c>
      <c r="N221" s="195">
        <f t="shared" si="137"/>
        <v>193.78915178296086</v>
      </c>
      <c r="O221" s="195">
        <f t="shared" si="137"/>
        <v>218.26138807901265</v>
      </c>
      <c r="P221" s="195">
        <f t="shared" si="137"/>
        <v>247.10220410294647</v>
      </c>
      <c r="Q221" s="195">
        <f t="shared" si="137"/>
        <v>293.1371538610718</v>
      </c>
      <c r="R221" s="195">
        <f t="shared" si="137"/>
        <v>343.473722952874</v>
      </c>
      <c r="S221" s="195">
        <f t="shared" si="137"/>
        <v>404.84748527290293</v>
      </c>
      <c r="T221" s="195">
        <f t="shared" si="137"/>
        <v>477.6475845006821</v>
      </c>
      <c r="U221" s="195">
        <f t="shared" si="137"/>
        <v>553.4453996788061</v>
      </c>
      <c r="V221" s="195">
        <f t="shared" si="137"/>
        <v>632.9590932170529</v>
      </c>
      <c r="W221" s="195">
        <f t="shared" si="137"/>
        <v>721.0410040471056</v>
      </c>
      <c r="X221" s="195">
        <f>SUM(X192:X220)</f>
        <v>808.073805286711</v>
      </c>
      <c r="Y221" s="195">
        <f t="shared" si="137"/>
        <v>847.5152151053323</v>
      </c>
      <c r="Z221" s="195">
        <f t="shared" si="137"/>
        <v>887.5992740972646</v>
      </c>
      <c r="AA221" s="195">
        <f>SUM(AA192:AA220)</f>
        <v>981.2705633594023</v>
      </c>
      <c r="AB221" s="195">
        <f t="shared" si="137"/>
        <v>1081.5824294728156</v>
      </c>
      <c r="AC221" s="195">
        <f t="shared" si="137"/>
        <v>1185.8348330564395</v>
      </c>
      <c r="AD221" s="195">
        <f>SUM(AD192:AD220)</f>
        <v>1294.1753395381197</v>
      </c>
      <c r="AE221" s="195">
        <f>SUM(AE192:AE220)</f>
        <v>1410.8169109843275</v>
      </c>
      <c r="AF221" s="195">
        <f>SUM(AF192:AF220)</f>
        <v>1532.0189347572198</v>
      </c>
    </row>
    <row r="222" spans="1:32" s="16" customFormat="1" ht="15">
      <c r="A222" s="99" t="s">
        <v>23</v>
      </c>
      <c r="B222" s="193"/>
      <c r="C222" s="201">
        <f>'конкурсные предложения'!B38</f>
        <v>0</v>
      </c>
      <c r="D222" s="202">
        <f aca="true" t="shared" si="138" ref="D222:AF222">C222</f>
        <v>0</v>
      </c>
      <c r="E222" s="202">
        <f t="shared" si="138"/>
        <v>0</v>
      </c>
      <c r="F222" s="202">
        <f t="shared" si="138"/>
        <v>0</v>
      </c>
      <c r="G222" s="202">
        <f t="shared" si="138"/>
        <v>0</v>
      </c>
      <c r="H222" s="202">
        <f t="shared" si="138"/>
        <v>0</v>
      </c>
      <c r="I222" s="202">
        <f t="shared" si="138"/>
        <v>0</v>
      </c>
      <c r="J222" s="202">
        <f t="shared" si="138"/>
        <v>0</v>
      </c>
      <c r="K222" s="202">
        <f t="shared" si="138"/>
        <v>0</v>
      </c>
      <c r="L222" s="202">
        <f t="shared" si="138"/>
        <v>0</v>
      </c>
      <c r="M222" s="202">
        <f t="shared" si="138"/>
        <v>0</v>
      </c>
      <c r="N222" s="202">
        <f t="shared" si="138"/>
        <v>0</v>
      </c>
      <c r="O222" s="202">
        <f t="shared" si="138"/>
        <v>0</v>
      </c>
      <c r="P222" s="202">
        <f t="shared" si="138"/>
        <v>0</v>
      </c>
      <c r="Q222" s="202">
        <f t="shared" si="138"/>
        <v>0</v>
      </c>
      <c r="R222" s="202">
        <f t="shared" si="138"/>
        <v>0</v>
      </c>
      <c r="S222" s="202">
        <f t="shared" si="138"/>
        <v>0</v>
      </c>
      <c r="T222" s="202">
        <f t="shared" si="138"/>
        <v>0</v>
      </c>
      <c r="U222" s="202">
        <f t="shared" si="138"/>
        <v>0</v>
      </c>
      <c r="V222" s="202">
        <f t="shared" si="138"/>
        <v>0</v>
      </c>
      <c r="W222" s="202">
        <f t="shared" si="138"/>
        <v>0</v>
      </c>
      <c r="X222" s="202">
        <f t="shared" si="138"/>
        <v>0</v>
      </c>
      <c r="Y222" s="202">
        <f t="shared" si="138"/>
        <v>0</v>
      </c>
      <c r="Z222" s="202">
        <f t="shared" si="138"/>
        <v>0</v>
      </c>
      <c r="AA222" s="202">
        <f t="shared" si="138"/>
        <v>0</v>
      </c>
      <c r="AB222" s="202">
        <f t="shared" si="138"/>
        <v>0</v>
      </c>
      <c r="AC222" s="202">
        <f t="shared" si="138"/>
        <v>0</v>
      </c>
      <c r="AD222" s="202">
        <f t="shared" si="138"/>
        <v>0</v>
      </c>
      <c r="AE222" s="202">
        <f t="shared" si="138"/>
        <v>0</v>
      </c>
      <c r="AF222" s="202">
        <f t="shared" si="138"/>
        <v>0</v>
      </c>
    </row>
    <row r="223" spans="1:32" s="16" customFormat="1" ht="20.25" customHeight="1">
      <c r="A223" s="99" t="s">
        <v>3</v>
      </c>
      <c r="B223" s="180"/>
      <c r="C223" s="194">
        <f>C222*'конкурсная документация'!B83</f>
        <v>0</v>
      </c>
      <c r="D223" s="195">
        <f aca="true" t="shared" si="139" ref="D223:AF223">D222*C246</f>
        <v>0</v>
      </c>
      <c r="E223" s="195">
        <f t="shared" si="139"/>
        <v>0</v>
      </c>
      <c r="F223" s="195">
        <f t="shared" si="139"/>
        <v>0</v>
      </c>
      <c r="G223" s="195">
        <f t="shared" si="139"/>
        <v>0</v>
      </c>
      <c r="H223" s="195">
        <f t="shared" si="139"/>
        <v>0</v>
      </c>
      <c r="I223" s="195">
        <f t="shared" si="139"/>
        <v>0</v>
      </c>
      <c r="J223" s="195">
        <f t="shared" si="139"/>
        <v>0</v>
      </c>
      <c r="K223" s="195">
        <f t="shared" si="139"/>
        <v>0</v>
      </c>
      <c r="L223" s="195">
        <f t="shared" si="139"/>
        <v>0</v>
      </c>
      <c r="M223" s="195">
        <f t="shared" si="139"/>
        <v>0</v>
      </c>
      <c r="N223" s="195">
        <f t="shared" si="139"/>
        <v>0</v>
      </c>
      <c r="O223" s="195">
        <f t="shared" si="139"/>
        <v>0</v>
      </c>
      <c r="P223" s="195">
        <f t="shared" si="139"/>
        <v>0</v>
      </c>
      <c r="Q223" s="195">
        <f t="shared" si="139"/>
        <v>0</v>
      </c>
      <c r="R223" s="195">
        <f t="shared" si="139"/>
        <v>0</v>
      </c>
      <c r="S223" s="195">
        <f t="shared" si="139"/>
        <v>0</v>
      </c>
      <c r="T223" s="195">
        <f t="shared" si="139"/>
        <v>0</v>
      </c>
      <c r="U223" s="195">
        <f t="shared" si="139"/>
        <v>0</v>
      </c>
      <c r="V223" s="195">
        <f t="shared" si="139"/>
        <v>0</v>
      </c>
      <c r="W223" s="195">
        <f t="shared" si="139"/>
        <v>0</v>
      </c>
      <c r="X223" s="195">
        <f t="shared" si="139"/>
        <v>0</v>
      </c>
      <c r="Y223" s="195">
        <f t="shared" si="139"/>
        <v>0</v>
      </c>
      <c r="Z223" s="195">
        <f t="shared" si="139"/>
        <v>0</v>
      </c>
      <c r="AA223" s="195">
        <f t="shared" si="139"/>
        <v>0</v>
      </c>
      <c r="AB223" s="195">
        <f t="shared" si="139"/>
        <v>0</v>
      </c>
      <c r="AC223" s="195">
        <f t="shared" si="139"/>
        <v>0</v>
      </c>
      <c r="AD223" s="195">
        <f t="shared" si="139"/>
        <v>0</v>
      </c>
      <c r="AE223" s="195">
        <f t="shared" si="139"/>
        <v>0</v>
      </c>
      <c r="AF223" s="195">
        <f t="shared" si="139"/>
        <v>0</v>
      </c>
    </row>
    <row r="224" spans="1:32" s="236" customFormat="1" ht="15">
      <c r="A224" s="177" t="s">
        <v>119</v>
      </c>
      <c r="B224" s="87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</row>
    <row r="225" spans="1:32" s="16" customFormat="1" ht="15.75" customHeight="1">
      <c r="A225" s="99" t="s">
        <v>15</v>
      </c>
      <c r="B225" s="203"/>
      <c r="C225" s="201">
        <f>'конкурсные предложения'!B39</f>
        <v>0</v>
      </c>
      <c r="D225" s="201">
        <f>'конкурсные предложения'!C39</f>
        <v>0</v>
      </c>
      <c r="E225" s="201">
        <f>'конкурсные предложения'!D39</f>
        <v>0</v>
      </c>
      <c r="F225" s="201">
        <f aca="true" t="shared" si="140" ref="F225:V225">E225</f>
        <v>0</v>
      </c>
      <c r="G225" s="202">
        <f t="shared" si="140"/>
        <v>0</v>
      </c>
      <c r="H225" s="202">
        <f t="shared" si="140"/>
        <v>0</v>
      </c>
      <c r="I225" s="202">
        <f t="shared" si="140"/>
        <v>0</v>
      </c>
      <c r="J225" s="202">
        <f t="shared" si="140"/>
        <v>0</v>
      </c>
      <c r="K225" s="202">
        <f t="shared" si="140"/>
        <v>0</v>
      </c>
      <c r="L225" s="202">
        <f t="shared" si="140"/>
        <v>0</v>
      </c>
      <c r="M225" s="202">
        <f t="shared" si="140"/>
        <v>0</v>
      </c>
      <c r="N225" s="202">
        <f t="shared" si="140"/>
        <v>0</v>
      </c>
      <c r="O225" s="202">
        <f t="shared" si="140"/>
        <v>0</v>
      </c>
      <c r="P225" s="202">
        <f t="shared" si="140"/>
        <v>0</v>
      </c>
      <c r="Q225" s="202">
        <f t="shared" si="140"/>
        <v>0</v>
      </c>
      <c r="R225" s="202">
        <f t="shared" si="140"/>
        <v>0</v>
      </c>
      <c r="S225" s="202">
        <f t="shared" si="140"/>
        <v>0</v>
      </c>
      <c r="T225" s="202">
        <f t="shared" si="140"/>
        <v>0</v>
      </c>
      <c r="U225" s="202">
        <f t="shared" si="140"/>
        <v>0</v>
      </c>
      <c r="V225" s="202">
        <f t="shared" si="140"/>
        <v>0</v>
      </c>
      <c r="W225" s="202">
        <f aca="true" t="shared" si="141" ref="W225:AF225">V225</f>
        <v>0</v>
      </c>
      <c r="X225" s="202">
        <f t="shared" si="141"/>
        <v>0</v>
      </c>
      <c r="Y225" s="202">
        <f t="shared" si="141"/>
        <v>0</v>
      </c>
      <c r="Z225" s="202">
        <f t="shared" si="141"/>
        <v>0</v>
      </c>
      <c r="AA225" s="202">
        <f t="shared" si="141"/>
        <v>0</v>
      </c>
      <c r="AB225" s="202">
        <f t="shared" si="141"/>
        <v>0</v>
      </c>
      <c r="AC225" s="202">
        <f t="shared" si="141"/>
        <v>0</v>
      </c>
      <c r="AD225" s="202">
        <f t="shared" si="141"/>
        <v>0</v>
      </c>
      <c r="AE225" s="202">
        <f t="shared" si="141"/>
        <v>0</v>
      </c>
      <c r="AF225" s="202">
        <f t="shared" si="141"/>
        <v>0</v>
      </c>
    </row>
    <row r="226" spans="1:32" s="16" customFormat="1" ht="15">
      <c r="A226" s="204" t="s">
        <v>4</v>
      </c>
      <c r="B226" s="193"/>
      <c r="C226" s="195">
        <f aca="true" t="shared" si="142" ref="C226:AF226">C187*C225</f>
        <v>0</v>
      </c>
      <c r="D226" s="195">
        <f t="shared" si="142"/>
        <v>0</v>
      </c>
      <c r="E226" s="195">
        <f t="shared" si="142"/>
        <v>0</v>
      </c>
      <c r="F226" s="195">
        <f t="shared" si="142"/>
        <v>0</v>
      </c>
      <c r="G226" s="195">
        <f t="shared" si="142"/>
        <v>0</v>
      </c>
      <c r="H226" s="195">
        <f t="shared" si="142"/>
        <v>0</v>
      </c>
      <c r="I226" s="195">
        <f t="shared" si="142"/>
        <v>0</v>
      </c>
      <c r="J226" s="195">
        <f t="shared" si="142"/>
        <v>0</v>
      </c>
      <c r="K226" s="195">
        <f t="shared" si="142"/>
        <v>0</v>
      </c>
      <c r="L226" s="195">
        <f t="shared" si="142"/>
        <v>0</v>
      </c>
      <c r="M226" s="195">
        <f t="shared" si="142"/>
        <v>0</v>
      </c>
      <c r="N226" s="195">
        <f t="shared" si="142"/>
        <v>0</v>
      </c>
      <c r="O226" s="195">
        <f t="shared" si="142"/>
        <v>0</v>
      </c>
      <c r="P226" s="195">
        <f t="shared" si="142"/>
        <v>0</v>
      </c>
      <c r="Q226" s="195">
        <f t="shared" si="142"/>
        <v>0</v>
      </c>
      <c r="R226" s="195">
        <f t="shared" si="142"/>
        <v>0</v>
      </c>
      <c r="S226" s="195">
        <f t="shared" si="142"/>
        <v>0</v>
      </c>
      <c r="T226" s="195">
        <f t="shared" si="142"/>
        <v>0</v>
      </c>
      <c r="U226" s="195">
        <f t="shared" si="142"/>
        <v>0</v>
      </c>
      <c r="V226" s="195">
        <f t="shared" si="142"/>
        <v>0</v>
      </c>
      <c r="W226" s="195">
        <f t="shared" si="142"/>
        <v>0</v>
      </c>
      <c r="X226" s="195">
        <f t="shared" si="142"/>
        <v>0</v>
      </c>
      <c r="Y226" s="195">
        <f t="shared" si="142"/>
        <v>0</v>
      </c>
      <c r="Z226" s="195">
        <f t="shared" si="142"/>
        <v>0</v>
      </c>
      <c r="AA226" s="195">
        <f t="shared" si="142"/>
        <v>0</v>
      </c>
      <c r="AB226" s="195">
        <f t="shared" si="142"/>
        <v>0</v>
      </c>
      <c r="AC226" s="195">
        <f t="shared" si="142"/>
        <v>0</v>
      </c>
      <c r="AD226" s="195">
        <f t="shared" si="142"/>
        <v>0</v>
      </c>
      <c r="AE226" s="195">
        <f t="shared" si="142"/>
        <v>0</v>
      </c>
      <c r="AF226" s="195">
        <f t="shared" si="142"/>
        <v>0</v>
      </c>
    </row>
    <row r="227" spans="1:32" s="16" customFormat="1" ht="29.25" customHeight="1">
      <c r="A227" s="99" t="s">
        <v>16</v>
      </c>
      <c r="B227" s="205"/>
      <c r="C227" s="201">
        <f>'конкурсные предложения'!B$40</f>
        <v>0.01</v>
      </c>
      <c r="D227" s="201">
        <f>'конкурсные предложения'!C$40</f>
        <v>0.02</v>
      </c>
      <c r="E227" s="201">
        <f>'конкурсные предложения'!D$40</f>
        <v>0.03</v>
      </c>
      <c r="F227" s="201">
        <f>'конкурсные предложения'!E$40</f>
        <v>0.04</v>
      </c>
      <c r="G227" s="201">
        <f>'конкурсные предложения'!F$40</f>
        <v>0.05</v>
      </c>
      <c r="H227" s="201">
        <f>'конкурсные предложения'!G$40</f>
        <v>0.06</v>
      </c>
      <c r="I227" s="201">
        <f>'конкурсные предложения'!H$40</f>
        <v>0.07</v>
      </c>
      <c r="J227" s="201">
        <f>'конкурсные предложения'!I$40</f>
        <v>0.08</v>
      </c>
      <c r="K227" s="201">
        <f>'конкурсные предложения'!J$40</f>
        <v>0.09</v>
      </c>
      <c r="L227" s="201">
        <f>'конкурсные предложения'!K$40</f>
        <v>0.1</v>
      </c>
      <c r="M227" s="201">
        <f>'конкурсные предложения'!L$40</f>
        <v>0.11</v>
      </c>
      <c r="N227" s="201">
        <f>'конкурсные предложения'!M$40</f>
        <v>0.12</v>
      </c>
      <c r="O227" s="201">
        <f>'конкурсные предложения'!N$40</f>
        <v>0.13</v>
      </c>
      <c r="P227" s="201">
        <f>'конкурсные предложения'!O$40</f>
        <v>0.14</v>
      </c>
      <c r="Q227" s="201">
        <f>'конкурсные предложения'!P$40</f>
        <v>0.15</v>
      </c>
      <c r="R227" s="201">
        <f>'конкурсные предложения'!Q$40</f>
        <v>0.16</v>
      </c>
      <c r="S227" s="201">
        <f>'конкурсные предложения'!R$40</f>
        <v>0.17</v>
      </c>
      <c r="T227" s="201">
        <f>'конкурсные предложения'!S$40</f>
        <v>0.18</v>
      </c>
      <c r="U227" s="201">
        <f>'конкурсные предложения'!T$40</f>
        <v>0.19</v>
      </c>
      <c r="V227" s="201">
        <f>'конкурсные предложения'!U$40</f>
        <v>0.2</v>
      </c>
      <c r="W227" s="201">
        <f>'конкурсные предложения'!V$40</f>
        <v>0.21</v>
      </c>
      <c r="X227" s="201">
        <f>'конкурсные предложения'!W$40</f>
        <v>0.22</v>
      </c>
      <c r="Y227" s="201">
        <f>'конкурсные предложения'!X$40</f>
        <v>0.23</v>
      </c>
      <c r="Z227" s="201">
        <f>'конкурсные предложения'!Y$40</f>
        <v>0.24</v>
      </c>
      <c r="AA227" s="201">
        <f>'конкурсные предложения'!Z$40</f>
        <v>0.25</v>
      </c>
      <c r="AB227" s="201">
        <f>'конкурсные предложения'!AA$40</f>
        <v>0.26</v>
      </c>
      <c r="AC227" s="201">
        <f>'конкурсные предложения'!AB$40</f>
        <v>0.27</v>
      </c>
      <c r="AD227" s="201">
        <f>'конкурсные предложения'!AC$40</f>
        <v>0.28</v>
      </c>
      <c r="AE227" s="201">
        <f>'конкурсные предложения'!AD$40</f>
        <v>0.29</v>
      </c>
      <c r="AF227" s="201">
        <f>'конкурсные предложения'!AE$40</f>
        <v>0.3</v>
      </c>
    </row>
    <row r="228" spans="1:32" s="16" customFormat="1" ht="15">
      <c r="A228" s="99" t="s">
        <v>5</v>
      </c>
      <c r="B228" s="180"/>
      <c r="C228" s="195">
        <f aca="true" t="shared" si="143" ref="C228:AF228">(C190+C223)*C227</f>
        <v>0</v>
      </c>
      <c r="D228" s="195">
        <f t="shared" si="143"/>
        <v>1.8700000000000003</v>
      </c>
      <c r="E228" s="195">
        <f t="shared" si="143"/>
        <v>36.29706801600001</v>
      </c>
      <c r="F228" s="195">
        <f t="shared" si="143"/>
        <v>93.44940615360004</v>
      </c>
      <c r="G228" s="195">
        <f t="shared" si="143"/>
        <v>120.67683841697593</v>
      </c>
      <c r="H228" s="195">
        <f t="shared" si="143"/>
        <v>146.01865510722612</v>
      </c>
      <c r="I228" s="195">
        <f t="shared" si="143"/>
        <v>171.94978542147325</v>
      </c>
      <c r="J228" s="195">
        <f t="shared" si="143"/>
        <v>198.57286991711493</v>
      </c>
      <c r="K228" s="195">
        <f t="shared" si="143"/>
        <v>225.99645447620645</v>
      </c>
      <c r="L228" s="195">
        <f t="shared" si="143"/>
        <v>254.34715099451955</v>
      </c>
      <c r="M228" s="195">
        <f t="shared" si="143"/>
        <v>283.7486665346255</v>
      </c>
      <c r="N228" s="195">
        <f t="shared" si="143"/>
        <v>312.4649096977856</v>
      </c>
      <c r="O228" s="195">
        <f t="shared" si="143"/>
        <v>376.9388768105509</v>
      </c>
      <c r="P228" s="195">
        <f t="shared" si="143"/>
        <v>456.13186556270006</v>
      </c>
      <c r="Q228" s="195">
        <f t="shared" si="143"/>
        <v>589.7522317618269</v>
      </c>
      <c r="R228" s="195">
        <f t="shared" si="143"/>
        <v>743.244123688611</v>
      </c>
      <c r="S228" s="195">
        <f t="shared" si="143"/>
        <v>939.9771404052591</v>
      </c>
      <c r="T228" s="195">
        <f t="shared" si="143"/>
        <v>1184.4777232411566</v>
      </c>
      <c r="U228" s="195">
        <f t="shared" si="143"/>
        <v>1447.56069782074</v>
      </c>
      <c r="V228" s="195">
        <f t="shared" si="143"/>
        <v>1731.1137971864264</v>
      </c>
      <c r="W228" s="195">
        <f t="shared" si="143"/>
        <v>2054.692102956388</v>
      </c>
      <c r="X228" s="195">
        <f t="shared" si="143"/>
        <v>2397.419888613451</v>
      </c>
      <c r="Y228" s="195">
        <f t="shared" si="143"/>
        <v>2759.814801319777</v>
      </c>
      <c r="Z228" s="195">
        <f t="shared" si="143"/>
        <v>3153.7014007392404</v>
      </c>
      <c r="AA228" s="195">
        <f t="shared" si="143"/>
        <v>3580.9081448962943</v>
      </c>
      <c r="AB228" s="195">
        <f t="shared" si="143"/>
        <v>4029.651067278097</v>
      </c>
      <c r="AC228" s="195">
        <f t="shared" si="143"/>
        <v>4498.83690496019</v>
      </c>
      <c r="AD228" s="195">
        <f t="shared" si="143"/>
        <v>4988.0699112261655</v>
      </c>
      <c r="AE228" s="195">
        <f t="shared" si="143"/>
        <v>5520.477182114214</v>
      </c>
      <c r="AF228" s="195">
        <f t="shared" si="143"/>
        <v>6073.477288112354</v>
      </c>
    </row>
    <row r="229" spans="1:32" s="16" customFormat="1" ht="30">
      <c r="A229" s="99" t="s">
        <v>6</v>
      </c>
      <c r="B229" s="193"/>
      <c r="C229" s="195">
        <f>C226+C228</f>
        <v>0</v>
      </c>
      <c r="D229" s="195">
        <f aca="true" t="shared" si="144" ref="D229:AF229">D226+D228</f>
        <v>1.8700000000000003</v>
      </c>
      <c r="E229" s="195">
        <f t="shared" si="144"/>
        <v>36.29706801600001</v>
      </c>
      <c r="F229" s="195">
        <f t="shared" si="144"/>
        <v>93.44940615360004</v>
      </c>
      <c r="G229" s="195">
        <f t="shared" si="144"/>
        <v>120.67683841697593</v>
      </c>
      <c r="H229" s="195">
        <f t="shared" si="144"/>
        <v>146.01865510722612</v>
      </c>
      <c r="I229" s="195">
        <f t="shared" si="144"/>
        <v>171.94978542147325</v>
      </c>
      <c r="J229" s="195">
        <f t="shared" si="144"/>
        <v>198.57286991711493</v>
      </c>
      <c r="K229" s="195">
        <f t="shared" si="144"/>
        <v>225.99645447620645</v>
      </c>
      <c r="L229" s="195">
        <f t="shared" si="144"/>
        <v>254.34715099451955</v>
      </c>
      <c r="M229" s="195">
        <f t="shared" si="144"/>
        <v>283.7486665346255</v>
      </c>
      <c r="N229" s="195">
        <f t="shared" si="144"/>
        <v>312.4649096977856</v>
      </c>
      <c r="O229" s="195">
        <f t="shared" si="144"/>
        <v>376.9388768105509</v>
      </c>
      <c r="P229" s="195">
        <f t="shared" si="144"/>
        <v>456.13186556270006</v>
      </c>
      <c r="Q229" s="195">
        <f t="shared" si="144"/>
        <v>589.7522317618269</v>
      </c>
      <c r="R229" s="195">
        <f t="shared" si="144"/>
        <v>743.244123688611</v>
      </c>
      <c r="S229" s="195">
        <f t="shared" si="144"/>
        <v>939.9771404052591</v>
      </c>
      <c r="T229" s="195">
        <f t="shared" si="144"/>
        <v>1184.4777232411566</v>
      </c>
      <c r="U229" s="195">
        <f t="shared" si="144"/>
        <v>1447.56069782074</v>
      </c>
      <c r="V229" s="195">
        <f t="shared" si="144"/>
        <v>1731.1137971864264</v>
      </c>
      <c r="W229" s="195">
        <f t="shared" si="144"/>
        <v>2054.692102956388</v>
      </c>
      <c r="X229" s="195">
        <f t="shared" si="144"/>
        <v>2397.419888613451</v>
      </c>
      <c r="Y229" s="195">
        <f t="shared" si="144"/>
        <v>2759.814801319777</v>
      </c>
      <c r="Z229" s="195">
        <f t="shared" si="144"/>
        <v>3153.7014007392404</v>
      </c>
      <c r="AA229" s="195">
        <f t="shared" si="144"/>
        <v>3580.9081448962943</v>
      </c>
      <c r="AB229" s="195">
        <f t="shared" si="144"/>
        <v>4029.651067278097</v>
      </c>
      <c r="AC229" s="195">
        <f t="shared" si="144"/>
        <v>4498.83690496019</v>
      </c>
      <c r="AD229" s="195">
        <f t="shared" si="144"/>
        <v>4988.0699112261655</v>
      </c>
      <c r="AE229" s="195">
        <f t="shared" si="144"/>
        <v>5520.477182114214</v>
      </c>
      <c r="AF229" s="195">
        <f t="shared" si="144"/>
        <v>6073.477288112354</v>
      </c>
    </row>
    <row r="230" spans="1:32" s="236" customFormat="1" ht="15">
      <c r="A230" s="177" t="s">
        <v>7</v>
      </c>
      <c r="B230" s="87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</row>
    <row r="231" spans="1:32" s="16" customFormat="1" ht="14.25" customHeight="1">
      <c r="A231" s="99" t="s">
        <v>8</v>
      </c>
      <c r="B231" s="191"/>
      <c r="C231" s="206">
        <f>'конкурсные предложения'!B37*C12</f>
        <v>361.90000000000003</v>
      </c>
      <c r="D231" s="195">
        <f>C231*(1+D232)*(1+C235)*(1-0.01)</f>
        <v>394.10910000000007</v>
      </c>
      <c r="E231" s="195">
        <f>D231*(1+E232)*(1+D235)*(1-0.01)</f>
        <v>413.57808954000006</v>
      </c>
      <c r="F231" s="206">
        <f>'конкурсные предложения'!E37*F12</f>
        <v>446.0241500000001</v>
      </c>
      <c r="G231" s="195">
        <f>F231*(1+G232)*(1+F235)*(1-0.01)</f>
        <v>472.4733820950001</v>
      </c>
      <c r="H231" s="195">
        <f>G231*(1+H232)*(1+G235)*(1-0.01)</f>
        <v>500.4910536532336</v>
      </c>
      <c r="I231" s="195">
        <f>H231*(1+I232)*(1+H235)*(1-0.01)</f>
        <v>530.1701731348704</v>
      </c>
      <c r="J231" s="195">
        <f>I231*(1+J232)*(1+I235)*(1-0.01)</f>
        <v>561.6092644017682</v>
      </c>
      <c r="K231" s="206">
        <f>'конкурсные предложения'!J37*K12</f>
        <v>600.5490657758369</v>
      </c>
      <c r="L231" s="195">
        <f>K231*(1+L232)*(1+K235)*(1-0.01)</f>
        <v>636.161625376344</v>
      </c>
      <c r="M231" s="195">
        <f>L231*(1+M232)*(1+L235)*(1-0.01)</f>
        <v>673.8860097611612</v>
      </c>
      <c r="N231" s="195">
        <f>M231*(1+N232)*(1+M235)*(1-0.01)</f>
        <v>713.847450139998</v>
      </c>
      <c r="O231" s="195">
        <f>N231*(1+O232)*(1+N235)*(1-0.01)</f>
        <v>756.1786039333</v>
      </c>
      <c r="P231" s="206">
        <f>'конкурсные предложения'!O37*P12</f>
        <v>807.2052510919114</v>
      </c>
      <c r="Q231" s="195">
        <f>P231*(1+Q232)*(1+P235)*(1-0.01)</f>
        <v>855.0725224816617</v>
      </c>
      <c r="R231" s="195">
        <f>Q231*(1+R232)*(1+Q235)*(1-0.01)</f>
        <v>905.7783230648243</v>
      </c>
      <c r="S231" s="195">
        <f>R231*(1+S232)*(1+R235)*(1-0.01)</f>
        <v>959.4909776225685</v>
      </c>
      <c r="T231" s="195">
        <f>S231*(1+T232)*(1+S235)*(1-0.01)</f>
        <v>1016.3887925955869</v>
      </c>
      <c r="U231" s="206">
        <f>'конкурсные предложения'!T37*U12</f>
        <v>1079.1368888143484</v>
      </c>
      <c r="V231" s="195">
        <f>U231*(1+V232)*(1+U235)*(1-0.01)</f>
        <v>1143.1297063210393</v>
      </c>
      <c r="W231" s="195">
        <f>V231*(1+W232)*(1+V235)*(1-0.01)</f>
        <v>1210.917297905877</v>
      </c>
      <c r="X231" s="195">
        <f>W231*(1+X232)*(1+W235)*(1-0.01)</f>
        <v>1282.7246936716954</v>
      </c>
      <c r="Y231" s="195">
        <f>X231*(1+Y232)*(1+X235)*(1-0.01)</f>
        <v>1358.7902680064271</v>
      </c>
      <c r="Z231" s="206">
        <f>'конкурсные предложения'!Y37*Z12</f>
        <v>1439.1957168408385</v>
      </c>
      <c r="AA231" s="195">
        <f>Z231*(1+AA232)*(1+Z235)*(1-0.01)</f>
        <v>1524.5400228495002</v>
      </c>
      <c r="AB231" s="195">
        <f>AA231*(1+AB232)*(1+AA235)*(1-0.01)</f>
        <v>1614.9452462044756</v>
      </c>
      <c r="AC231" s="195">
        <f>AB231*(1+AC232)*(1+AB235)*(1-0.01)</f>
        <v>1710.711499304401</v>
      </c>
      <c r="AD231" s="195">
        <f>AC231*(1+AD232)*(1+AC235)*(1-0.01)</f>
        <v>1812.156691213152</v>
      </c>
      <c r="AE231" s="206">
        <f>'конкурсные предложения'!AD37*AE12</f>
        <v>1921.7158022714227</v>
      </c>
      <c r="AF231" s="195">
        <f>AE231*(1+AF232)*(1+AE235)*(1-0.01)</f>
        <v>2035.6735493461183</v>
      </c>
    </row>
    <row r="232" spans="1:34" s="16" customFormat="1" ht="15">
      <c r="A232" s="207" t="s">
        <v>17</v>
      </c>
      <c r="B232" s="208"/>
      <c r="C232" s="210"/>
      <c r="D232" s="201">
        <f>'конкурсная документация'!D$23</f>
        <v>0.1</v>
      </c>
      <c r="E232" s="201">
        <f>'конкурсная документация'!E$23</f>
        <v>0.06</v>
      </c>
      <c r="F232" s="201">
        <f>'конкурсная документация'!F$23</f>
        <v>0.07</v>
      </c>
      <c r="G232" s="201">
        <f>'конкурсная документация'!G$23</f>
        <v>0.07</v>
      </c>
      <c r="H232" s="201">
        <f>'конкурсная документация'!H$23</f>
        <v>0.07</v>
      </c>
      <c r="I232" s="201">
        <f>'конкурсная документация'!I$23</f>
        <v>0.07</v>
      </c>
      <c r="J232" s="201">
        <f>'конкурсная документация'!J$23</f>
        <v>0.07</v>
      </c>
      <c r="K232" s="201">
        <f>'конкурсная документация'!K$23</f>
        <v>0.07</v>
      </c>
      <c r="L232" s="201">
        <f>'конкурсная документация'!L$23</f>
        <v>0.07</v>
      </c>
      <c r="M232" s="201">
        <f>'конкурсная документация'!M$23</f>
        <v>0.07</v>
      </c>
      <c r="N232" s="201">
        <f>'конкурсная документация'!N$23</f>
        <v>0.07</v>
      </c>
      <c r="O232" s="201">
        <f>'конкурсная документация'!O$23</f>
        <v>0.07</v>
      </c>
      <c r="P232" s="201">
        <f>'конкурсная документация'!P$23</f>
        <v>0.07</v>
      </c>
      <c r="Q232" s="201">
        <f>'конкурсная документация'!Q$23</f>
        <v>0.07</v>
      </c>
      <c r="R232" s="201">
        <f>'конкурсная документация'!R$23</f>
        <v>0.07</v>
      </c>
      <c r="S232" s="201">
        <f>'конкурсная документация'!S$23</f>
        <v>0.07</v>
      </c>
      <c r="T232" s="201">
        <f>'конкурсная документация'!T$23</f>
        <v>0.07</v>
      </c>
      <c r="U232" s="201">
        <f>'конкурсная документация'!U$23</f>
        <v>0.07</v>
      </c>
      <c r="V232" s="201">
        <f>'конкурсная документация'!V$23</f>
        <v>0.07</v>
      </c>
      <c r="W232" s="201">
        <f>'конкурсная документация'!W$23</f>
        <v>0.07</v>
      </c>
      <c r="X232" s="201">
        <f>'конкурсная документация'!X$23</f>
        <v>0.07</v>
      </c>
      <c r="Y232" s="201">
        <f>'конкурсная документация'!Y$23</f>
        <v>0.07</v>
      </c>
      <c r="Z232" s="201">
        <f>'конкурсная документация'!Z$23</f>
        <v>0.07</v>
      </c>
      <c r="AA232" s="201">
        <f>'конкурсная документация'!AA$23</f>
        <v>0.07</v>
      </c>
      <c r="AB232" s="201">
        <f>'конкурсная документация'!AB$23</f>
        <v>0.07</v>
      </c>
      <c r="AC232" s="201">
        <f>'конкурсная документация'!AC$23</f>
        <v>0.07</v>
      </c>
      <c r="AD232" s="201">
        <f>'конкурсная документация'!AD$23</f>
        <v>0.07</v>
      </c>
      <c r="AE232" s="201">
        <f>'конкурсная документация'!AE$23</f>
        <v>0.07</v>
      </c>
      <c r="AF232" s="201">
        <f>'конкурсная документация'!AF$23</f>
        <v>0.07</v>
      </c>
      <c r="AG232" s="136"/>
      <c r="AH232" s="136"/>
    </row>
    <row r="233" spans="1:32" s="16" customFormat="1" ht="45.75" customHeight="1">
      <c r="A233" s="207" t="str">
        <f>'расчет индексация'!A163</f>
        <v>доля операционных расходов на транспортировку сточных вод за текущий отчетный период</v>
      </c>
      <c r="B233" s="209"/>
      <c r="C233" s="210">
        <f>'расчет индексация'!C163</f>
        <v>0.5</v>
      </c>
      <c r="D233" s="210">
        <f>'расчет индексация'!D163</f>
        <v>0.5</v>
      </c>
      <c r="E233" s="210">
        <f>'расчет индексация'!E163</f>
        <v>0.5</v>
      </c>
      <c r="F233" s="210">
        <f>'расчет индексация'!F163</f>
        <v>0.5</v>
      </c>
      <c r="G233" s="210">
        <f>'расчет индексация'!G163</f>
        <v>0.5</v>
      </c>
      <c r="H233" s="210">
        <f>'расчет индексация'!H163</f>
        <v>0.5</v>
      </c>
      <c r="I233" s="210">
        <f>'расчет индексация'!I163</f>
        <v>0.5</v>
      </c>
      <c r="J233" s="210">
        <f>'расчет индексация'!J163</f>
        <v>0.5</v>
      </c>
      <c r="K233" s="210">
        <f>'расчет индексация'!K163</f>
        <v>0.5</v>
      </c>
      <c r="L233" s="210">
        <f>'расчет индексация'!L163</f>
        <v>0.5</v>
      </c>
      <c r="M233" s="210">
        <f>'расчет индексация'!M163</f>
        <v>0.5</v>
      </c>
      <c r="N233" s="210">
        <f>'расчет индексация'!N163</f>
        <v>0.5</v>
      </c>
      <c r="O233" s="210">
        <f>'расчет индексация'!O163</f>
        <v>0.5</v>
      </c>
      <c r="P233" s="210">
        <f>'расчет индексация'!P163</f>
        <v>0.5</v>
      </c>
      <c r="Q233" s="210">
        <f>'расчет индексация'!Q163</f>
        <v>0.5</v>
      </c>
      <c r="R233" s="210">
        <f>'расчет индексация'!R163</f>
        <v>0.5</v>
      </c>
      <c r="S233" s="210">
        <f>'расчет индексация'!S163</f>
        <v>0.5</v>
      </c>
      <c r="T233" s="210">
        <f>'расчет индексация'!T163</f>
        <v>0.5</v>
      </c>
      <c r="U233" s="210">
        <f>'расчет индексация'!U163</f>
        <v>0.5</v>
      </c>
      <c r="V233" s="210">
        <f>'расчет индексация'!V163</f>
        <v>0.5</v>
      </c>
      <c r="W233" s="210">
        <f>'расчет индексация'!W163</f>
        <v>0.5</v>
      </c>
      <c r="X233" s="210">
        <f>'расчет индексация'!X163</f>
        <v>0.5</v>
      </c>
      <c r="Y233" s="210">
        <f>'расчет индексация'!Y163</f>
        <v>0.5</v>
      </c>
      <c r="Z233" s="210">
        <f>'расчет индексация'!Z163</f>
        <v>0.5</v>
      </c>
      <c r="AA233" s="210">
        <f>'расчет индексация'!AA163</f>
        <v>0.5</v>
      </c>
      <c r="AB233" s="210">
        <f>'расчет индексация'!AB163</f>
        <v>0.5</v>
      </c>
      <c r="AC233" s="210">
        <f>'расчет индексация'!AC163</f>
        <v>0.5</v>
      </c>
      <c r="AD233" s="210">
        <f>'расчет индексация'!AD163</f>
        <v>0.5</v>
      </c>
      <c r="AE233" s="210">
        <f>'расчет индексация'!AE163</f>
        <v>0.5</v>
      </c>
      <c r="AF233" s="210">
        <f>'расчет индексация'!AF163</f>
        <v>0.5</v>
      </c>
    </row>
    <row r="234" spans="1:32" s="16" customFormat="1" ht="15.75" customHeight="1">
      <c r="A234" s="207" t="str">
        <f>'расчет индексация'!A164</f>
        <v>Увеличение операционных расходов в следующем году всвязи с вводом в эксплуатацию нового объекта водоподготовки в текущем году, % от уровня операционных расходов предыдущего года </v>
      </c>
      <c r="B234" s="209"/>
      <c r="C234" s="210">
        <f>'расчет индексация'!C164</f>
        <v>0</v>
      </c>
      <c r="D234" s="210">
        <f>'расчет индексация'!D164</f>
        <v>0</v>
      </c>
      <c r="E234" s="210">
        <f>'расчет индексация'!E164</f>
        <v>0</v>
      </c>
      <c r="F234" s="210">
        <f>'расчет индексация'!F164</f>
        <v>0</v>
      </c>
      <c r="G234" s="210">
        <f>'расчет индексация'!G164</f>
        <v>0</v>
      </c>
      <c r="H234" s="210">
        <f>'расчет индексация'!H164</f>
        <v>0</v>
      </c>
      <c r="I234" s="210">
        <f>'расчет индексация'!I164</f>
        <v>0</v>
      </c>
      <c r="J234" s="210">
        <f>'расчет индексация'!J164</f>
        <v>0</v>
      </c>
      <c r="K234" s="210">
        <f>'расчет индексация'!K164</f>
        <v>0</v>
      </c>
      <c r="L234" s="210">
        <f>'расчет индексация'!L164</f>
        <v>0</v>
      </c>
      <c r="M234" s="210">
        <f>'расчет индексация'!M164</f>
        <v>0</v>
      </c>
      <c r="N234" s="210">
        <f>'расчет индексация'!N164</f>
        <v>0</v>
      </c>
      <c r="O234" s="210">
        <f>'расчет индексация'!O164</f>
        <v>0</v>
      </c>
      <c r="P234" s="210">
        <f>'расчет индексация'!P164</f>
        <v>0</v>
      </c>
      <c r="Q234" s="210">
        <f>'расчет индексация'!Q164</f>
        <v>0</v>
      </c>
      <c r="R234" s="210">
        <f>'расчет индексация'!R164</f>
        <v>0</v>
      </c>
      <c r="S234" s="210">
        <f>'расчет индексация'!S164</f>
        <v>0</v>
      </c>
      <c r="T234" s="210">
        <f>'расчет индексация'!T164</f>
        <v>0</v>
      </c>
      <c r="U234" s="210">
        <f>'расчет индексация'!U164</f>
        <v>0</v>
      </c>
      <c r="V234" s="210">
        <f>'расчет индексация'!V164</f>
        <v>0</v>
      </c>
      <c r="W234" s="210">
        <f>'расчет индексация'!W164</f>
        <v>0</v>
      </c>
      <c r="X234" s="210">
        <f>'расчет индексация'!X164</f>
        <v>0</v>
      </c>
      <c r="Y234" s="210">
        <f>'расчет индексация'!Y164</f>
        <v>0</v>
      </c>
      <c r="Z234" s="210">
        <f>'расчет индексация'!Z164</f>
        <v>0</v>
      </c>
      <c r="AA234" s="210">
        <f>'расчет индексация'!AA164</f>
        <v>0</v>
      </c>
      <c r="AB234" s="210">
        <f>'расчет индексация'!AB164</f>
        <v>0</v>
      </c>
      <c r="AC234" s="210">
        <f>'расчет индексация'!AC164</f>
        <v>0</v>
      </c>
      <c r="AD234" s="210">
        <f>'расчет индексация'!AD164</f>
        <v>0</v>
      </c>
      <c r="AE234" s="210">
        <f>'расчет индексация'!AE164</f>
        <v>0</v>
      </c>
      <c r="AF234" s="210">
        <f>'расчет индексация'!AF164</f>
        <v>0</v>
      </c>
    </row>
    <row r="235" spans="1:32" s="16" customFormat="1" ht="15.75" customHeight="1">
      <c r="A235" s="207" t="str">
        <f>'расчет индексация'!A165</f>
        <v>ИКА, учитываемый в тарифах следующего года</v>
      </c>
      <c r="B235" s="209"/>
      <c r="C235" s="214">
        <f>'расчет индексация'!C165</f>
        <v>0</v>
      </c>
      <c r="D235" s="214">
        <f>'расчет индексация'!D165</f>
        <v>0</v>
      </c>
      <c r="E235" s="214">
        <f>'расчет индексация'!E165</f>
        <v>0</v>
      </c>
      <c r="F235" s="214">
        <f>'расчет индексация'!F165</f>
        <v>0</v>
      </c>
      <c r="G235" s="214">
        <f>'расчет индексация'!G165</f>
        <v>0</v>
      </c>
      <c r="H235" s="214">
        <f>'расчет индексация'!H165</f>
        <v>0</v>
      </c>
      <c r="I235" s="214">
        <f>'расчет индексация'!I165</f>
        <v>0</v>
      </c>
      <c r="J235" s="214">
        <f>'расчет индексация'!J165</f>
        <v>0</v>
      </c>
      <c r="K235" s="214">
        <f>'расчет индексация'!K165</f>
        <v>0</v>
      </c>
      <c r="L235" s="214">
        <f>'расчет индексация'!L165</f>
        <v>0</v>
      </c>
      <c r="M235" s="214">
        <f>'расчет индексация'!M165</f>
        <v>0</v>
      </c>
      <c r="N235" s="214">
        <f>'расчет индексация'!N165</f>
        <v>0</v>
      </c>
      <c r="O235" s="214">
        <f>'расчет индексация'!O165</f>
        <v>0</v>
      </c>
      <c r="P235" s="214">
        <f>'расчет индексация'!P165</f>
        <v>0</v>
      </c>
      <c r="Q235" s="214">
        <f>'расчет индексация'!Q165</f>
        <v>0</v>
      </c>
      <c r="R235" s="214">
        <f>'расчет индексация'!R165</f>
        <v>0</v>
      </c>
      <c r="S235" s="214">
        <f>'расчет индексация'!S165</f>
        <v>0</v>
      </c>
      <c r="T235" s="214">
        <f>'расчет индексация'!T165</f>
        <v>0</v>
      </c>
      <c r="U235" s="214">
        <f>'расчет индексация'!U165</f>
        <v>0</v>
      </c>
      <c r="V235" s="214">
        <f>'расчет индексация'!V165</f>
        <v>0</v>
      </c>
      <c r="W235" s="214">
        <f>'расчет индексация'!W165</f>
        <v>0</v>
      </c>
      <c r="X235" s="214">
        <f>'расчет индексация'!X165</f>
        <v>0</v>
      </c>
      <c r="Y235" s="214">
        <f>'расчет индексация'!Y165</f>
        <v>0</v>
      </c>
      <c r="Z235" s="214">
        <f>'расчет индексация'!Z165</f>
        <v>0</v>
      </c>
      <c r="AA235" s="214">
        <f>'расчет индексация'!AA165</f>
        <v>0</v>
      </c>
      <c r="AB235" s="214">
        <f>'расчет индексация'!AB165</f>
        <v>0</v>
      </c>
      <c r="AC235" s="214">
        <f>'расчет индексация'!AC165</f>
        <v>0</v>
      </c>
      <c r="AD235" s="214">
        <f>'расчет индексация'!AD165</f>
        <v>0</v>
      </c>
      <c r="AE235" s="214">
        <f>'расчет индексация'!AE165</f>
        <v>0</v>
      </c>
      <c r="AF235" s="214">
        <f>'расчет индексация'!AF165</f>
        <v>0</v>
      </c>
    </row>
    <row r="236" spans="1:32" s="16" customFormat="1" ht="20.25" customHeight="1">
      <c r="A236" s="212" t="s">
        <v>61</v>
      </c>
      <c r="B236" s="213"/>
      <c r="C236" s="214">
        <f>SUM(C237)</f>
        <v>0.2243851593984</v>
      </c>
      <c r="D236" s="214">
        <f aca="true" t="shared" si="145" ref="D236:AF236">SUM(D237)</f>
        <v>0.243457897947264</v>
      </c>
      <c r="E236" s="214">
        <f t="shared" si="145"/>
        <v>0.27129682370331343</v>
      </c>
      <c r="F236" s="214">
        <f t="shared" si="145"/>
        <v>0.2910653584781414</v>
      </c>
      <c r="G236" s="214">
        <f t="shared" si="145"/>
        <v>0.32089315599139256</v>
      </c>
      <c r="H236" s="214">
        <f t="shared" si="145"/>
        <v>0.347577616017998</v>
      </c>
      <c r="I236" s="214">
        <f t="shared" si="145"/>
        <v>0.38333026705853657</v>
      </c>
      <c r="J236" s="214">
        <f t="shared" si="145"/>
        <v>0.4147952931462581</v>
      </c>
      <c r="K236" s="214">
        <f t="shared" si="145"/>
        <v>0.46579818378311943</v>
      </c>
      <c r="L236" s="214">
        <f t="shared" si="145"/>
        <v>0.4867151588284746</v>
      </c>
      <c r="M236" s="214">
        <f t="shared" si="145"/>
        <v>0.5083833433032423</v>
      </c>
      <c r="N236" s="214">
        <f t="shared" si="145"/>
        <v>0.5414282606179529</v>
      </c>
      <c r="O236" s="214">
        <f t="shared" si="145"/>
        <v>0.5653148015275685</v>
      </c>
      <c r="P236" s="214">
        <f t="shared" si="145"/>
        <v>0.6020602636268603</v>
      </c>
      <c r="Q236" s="214">
        <f t="shared" si="145"/>
        <v>0.6283702971473542</v>
      </c>
      <c r="R236" s="214">
        <f t="shared" si="145"/>
        <v>0.669214366461932</v>
      </c>
      <c r="S236" s="214">
        <f t="shared" si="145"/>
        <v>0.6981681308884482</v>
      </c>
      <c r="T236" s="214">
        <f t="shared" si="145"/>
        <v>0.7435490593961973</v>
      </c>
      <c r="U236" s="214">
        <f t="shared" si="145"/>
        <v>0.775382253501597</v>
      </c>
      <c r="V236" s="214">
        <f t="shared" si="145"/>
        <v>0.8257820999792008</v>
      </c>
      <c r="W236" s="214">
        <f t="shared" si="145"/>
        <v>0.8607460654889584</v>
      </c>
      <c r="X236" s="214">
        <f t="shared" si="145"/>
        <v>0.9166945597457405</v>
      </c>
      <c r="Y236" s="214">
        <f t="shared" si="145"/>
        <v>0.9550562342568394</v>
      </c>
      <c r="Z236" s="214">
        <f t="shared" si="145"/>
        <v>1.017134889483534</v>
      </c>
      <c r="AA236" s="214">
        <f t="shared" si="145"/>
        <v>1.05917646491552</v>
      </c>
      <c r="AB236" s="214">
        <f t="shared" si="145"/>
        <v>1.128022935135029</v>
      </c>
      <c r="AC236" s="214">
        <f t="shared" si="145"/>
        <v>1.2013444259188057</v>
      </c>
      <c r="AD236" s="214">
        <f t="shared" si="145"/>
        <v>1.2503538178398115</v>
      </c>
      <c r="AE236" s="214">
        <f t="shared" si="145"/>
        <v>1.331626815999399</v>
      </c>
      <c r="AF236" s="214">
        <f t="shared" si="145"/>
        <v>1.41818255903936</v>
      </c>
    </row>
    <row r="237" spans="1:32" s="16" customFormat="1" ht="14.25" customHeight="1">
      <c r="A237" s="215" t="s">
        <v>19</v>
      </c>
      <c r="B237" s="216"/>
      <c r="C237" s="195">
        <f>C238*C239/1000</f>
        <v>0.2243851593984</v>
      </c>
      <c r="D237" s="195">
        <f aca="true" t="shared" si="146" ref="D237:AF237">D238*D239/1000</f>
        <v>0.243457897947264</v>
      </c>
      <c r="E237" s="195">
        <f t="shared" si="146"/>
        <v>0.27129682370331343</v>
      </c>
      <c r="F237" s="195">
        <f t="shared" si="146"/>
        <v>0.2910653584781414</v>
      </c>
      <c r="G237" s="195">
        <f t="shared" si="146"/>
        <v>0.32089315599139256</v>
      </c>
      <c r="H237" s="195">
        <f t="shared" si="146"/>
        <v>0.347577616017998</v>
      </c>
      <c r="I237" s="195">
        <f t="shared" si="146"/>
        <v>0.38333026705853657</v>
      </c>
      <c r="J237" s="195">
        <f t="shared" si="146"/>
        <v>0.4147952931462581</v>
      </c>
      <c r="K237" s="195">
        <f t="shared" si="146"/>
        <v>0.46579818378311943</v>
      </c>
      <c r="L237" s="195">
        <f t="shared" si="146"/>
        <v>0.4867151588284746</v>
      </c>
      <c r="M237" s="195">
        <f t="shared" si="146"/>
        <v>0.5083833433032423</v>
      </c>
      <c r="N237" s="195">
        <f t="shared" si="146"/>
        <v>0.5414282606179529</v>
      </c>
      <c r="O237" s="195">
        <f t="shared" si="146"/>
        <v>0.5653148015275685</v>
      </c>
      <c r="P237" s="195">
        <f t="shared" si="146"/>
        <v>0.6020602636268603</v>
      </c>
      <c r="Q237" s="195">
        <f t="shared" si="146"/>
        <v>0.6283702971473542</v>
      </c>
      <c r="R237" s="195">
        <f t="shared" si="146"/>
        <v>0.669214366461932</v>
      </c>
      <c r="S237" s="195">
        <f t="shared" si="146"/>
        <v>0.6981681308884482</v>
      </c>
      <c r="T237" s="195">
        <f t="shared" si="146"/>
        <v>0.7435490593961973</v>
      </c>
      <c r="U237" s="195">
        <f t="shared" si="146"/>
        <v>0.775382253501597</v>
      </c>
      <c r="V237" s="195">
        <f t="shared" si="146"/>
        <v>0.8257820999792008</v>
      </c>
      <c r="W237" s="195">
        <f t="shared" si="146"/>
        <v>0.8607460654889584</v>
      </c>
      <c r="X237" s="195">
        <f t="shared" si="146"/>
        <v>0.9166945597457405</v>
      </c>
      <c r="Y237" s="195">
        <f t="shared" si="146"/>
        <v>0.9550562342568394</v>
      </c>
      <c r="Z237" s="195">
        <f t="shared" si="146"/>
        <v>1.017134889483534</v>
      </c>
      <c r="AA237" s="195">
        <f t="shared" si="146"/>
        <v>1.05917646491552</v>
      </c>
      <c r="AB237" s="195">
        <f t="shared" si="146"/>
        <v>1.128022935135029</v>
      </c>
      <c r="AC237" s="195">
        <f t="shared" si="146"/>
        <v>1.2013444259188057</v>
      </c>
      <c r="AD237" s="195">
        <f t="shared" si="146"/>
        <v>1.2503538178398115</v>
      </c>
      <c r="AE237" s="195">
        <f t="shared" si="146"/>
        <v>1.331626815999399</v>
      </c>
      <c r="AF237" s="195">
        <f t="shared" si="146"/>
        <v>1.41818255903936</v>
      </c>
    </row>
    <row r="238" spans="1:32" s="16" customFormat="1" ht="30">
      <c r="A238" s="234" t="s">
        <v>101</v>
      </c>
      <c r="B238" s="191"/>
      <c r="C238" s="194">
        <f>'конкурсные предложения'!B42*'конкурсная документация'!C84</f>
        <v>53.42400000000001</v>
      </c>
      <c r="D238" s="194">
        <f>'конкурсные предложения'!C42*'конкурсная документация'!D84</f>
        <v>53.42400000000001</v>
      </c>
      <c r="E238" s="194">
        <f>'конкурсные предложения'!D42*'конкурсная документация'!E84</f>
        <v>55.328</v>
      </c>
      <c r="F238" s="194">
        <f>'конкурсные предложения'!E42*'конкурсная документация'!F84</f>
        <v>56.265</v>
      </c>
      <c r="G238" s="194">
        <f>'конкурсные предложения'!F42*'конкурсная документация'!G84</f>
        <v>58.245000000000005</v>
      </c>
      <c r="H238" s="194">
        <f>'конкурсные предложения'!G42*'конкурсная документация'!H84</f>
        <v>59.23800000000001</v>
      </c>
      <c r="I238" s="194">
        <f>'конкурсные предложения'!H42*'конкурсная документация'!I84</f>
        <v>61.344</v>
      </c>
      <c r="J238" s="194">
        <f>'конкурсные предложения'!I42*'конкурсная документация'!J84</f>
        <v>62.328</v>
      </c>
      <c r="K238" s="194">
        <f>'конкурсные предложения'!J42*'конкурсная документация'!K84</f>
        <v>65.72</v>
      </c>
      <c r="L238" s="194">
        <f>'конкурсные предложения'!K42*'конкурсная документация'!L84</f>
        <v>64.48</v>
      </c>
      <c r="M238" s="194">
        <f>'конкурсные предложения'!L42*'конкурсная документация'!M84</f>
        <v>63.24</v>
      </c>
      <c r="N238" s="194">
        <f>'конкурсные предложения'!M42*'конкурсная документация'!N84</f>
        <v>63.24</v>
      </c>
      <c r="O238" s="194">
        <f>'конкурсные предложения'!N42*'конкурсная документация'!O84</f>
        <v>62</v>
      </c>
      <c r="P238" s="194">
        <f>'конкурсные предложения'!O42*'конкурсная документация'!P84</f>
        <v>62</v>
      </c>
      <c r="Q238" s="194">
        <f>'конкурсные предложения'!P42*'конкурсная документация'!Q84</f>
        <v>60.76</v>
      </c>
      <c r="R238" s="194">
        <f>'конкурсные предложения'!Q42*'конкурсная документация'!R84</f>
        <v>60.76</v>
      </c>
      <c r="S238" s="194">
        <f>'конкурсные предложения'!R42*'конкурсная документация'!S84</f>
        <v>59.519999999999996</v>
      </c>
      <c r="T238" s="194">
        <f>'конкурсные предложения'!S42*'конкурсная документация'!T84</f>
        <v>59.519999999999996</v>
      </c>
      <c r="U238" s="194">
        <f>'конкурсные предложения'!T42*'конкурсная документация'!U84</f>
        <v>58.279999999999994</v>
      </c>
      <c r="V238" s="194">
        <f>'конкурсные предложения'!U42*'конкурсная документация'!V84</f>
        <v>58.279999999999994</v>
      </c>
      <c r="W238" s="194">
        <f>'конкурсные предложения'!V42*'конкурсная документация'!W84</f>
        <v>57.04</v>
      </c>
      <c r="X238" s="194">
        <f>'конкурсные предложения'!W42*'конкурсная документация'!X84</f>
        <v>57.04</v>
      </c>
      <c r="Y238" s="194">
        <f>'конкурсные предложения'!X42*'конкурсная документация'!Y84</f>
        <v>55.800000000000004</v>
      </c>
      <c r="Z238" s="194">
        <f>'конкурсные предложения'!Y42*'конкурсная документация'!Z84</f>
        <v>55.800000000000004</v>
      </c>
      <c r="AA238" s="194">
        <f>'конкурсные предложения'!Z42*'конкурсная документация'!AA84</f>
        <v>54.56</v>
      </c>
      <c r="AB238" s="194">
        <f>'конкурсные предложения'!AA42*'конкурсная документация'!AB84</f>
        <v>54.56</v>
      </c>
      <c r="AC238" s="194">
        <f>'конкурсные предложения'!AB42*'конкурсная документация'!AC84</f>
        <v>54.56</v>
      </c>
      <c r="AD238" s="194">
        <f>'конкурсные предложения'!AC42*'конкурсная документация'!AD84</f>
        <v>53.32</v>
      </c>
      <c r="AE238" s="194">
        <f>'конкурсные предложения'!AD42*'конкурсная документация'!AE84</f>
        <v>53.32</v>
      </c>
      <c r="AF238" s="194">
        <f>'конкурсные предложения'!AE42*'конкурсная документация'!AF84</f>
        <v>53.32</v>
      </c>
    </row>
    <row r="239" spans="1:32" s="170" customFormat="1" ht="15" customHeight="1">
      <c r="A239" s="217" t="s">
        <v>21</v>
      </c>
      <c r="B239" s="218"/>
      <c r="C239" s="206">
        <f>'конкурсная документация'!$B$15*C10</f>
        <v>4.2000816</v>
      </c>
      <c r="D239" s="206">
        <f>'конкурсная документация'!$B$15*D10</f>
        <v>4.557088535999999</v>
      </c>
      <c r="E239" s="206">
        <f>'конкурсная документация'!$B$15*E10</f>
        <v>4.903427264736</v>
      </c>
      <c r="F239" s="206">
        <f>'конкурсная документация'!$B$15*F10</f>
        <v>5.17311576429648</v>
      </c>
      <c r="G239" s="206">
        <f>'конкурсная документация'!$B$15*G10</f>
        <v>5.50936828897575</v>
      </c>
      <c r="H239" s="206">
        <f>'конкурсная документация'!$B$15*H10</f>
        <v>5.867477227759174</v>
      </c>
      <c r="I239" s="206">
        <f>'конкурсная документация'!$B$15*I10</f>
        <v>6.24886324756352</v>
      </c>
      <c r="J239" s="206">
        <f>'конкурсная документация'!$B$15*J10</f>
        <v>6.655039358655149</v>
      </c>
      <c r="K239" s="206">
        <f>'конкурсная документация'!$B$15*K10</f>
        <v>7.087616916967733</v>
      </c>
      <c r="L239" s="206">
        <f>'конкурсная документация'!$B$15*L10</f>
        <v>7.548312016570636</v>
      </c>
      <c r="M239" s="206">
        <f>'конкурсная документация'!$B$15*M10</f>
        <v>8.038952297647727</v>
      </c>
      <c r="N239" s="206">
        <f>'конкурсная документация'!$B$15*N10</f>
        <v>8.561484196994828</v>
      </c>
      <c r="O239" s="206">
        <f>'конкурсная документация'!$B$15*O10</f>
        <v>9.117980669799492</v>
      </c>
      <c r="P239" s="206">
        <f>'конкурсная документация'!$B$15*P10</f>
        <v>9.710649413336457</v>
      </c>
      <c r="Q239" s="206">
        <f>'конкурсная документация'!$B$15*Q10</f>
        <v>10.341841625203326</v>
      </c>
      <c r="R239" s="206">
        <f>'конкурсная документация'!$B$15*R10</f>
        <v>11.01406133084154</v>
      </c>
      <c r="S239" s="206">
        <f>'конкурсная документация'!$B$15*S10</f>
        <v>11.729975317346241</v>
      </c>
      <c r="T239" s="206">
        <f>'конкурсная документация'!$B$15*T10</f>
        <v>12.492423712973746</v>
      </c>
      <c r="U239" s="206">
        <f>'конкурсная документация'!$B$15*U10</f>
        <v>13.30443125431704</v>
      </c>
      <c r="V239" s="206">
        <f>'конкурсная документация'!$B$15*V10</f>
        <v>14.169219285847646</v>
      </c>
      <c r="W239" s="206">
        <f>'конкурсная документация'!$B$15*W10</f>
        <v>15.090218539427742</v>
      </c>
      <c r="X239" s="206">
        <f>'конкурсная документация'!$B$15*X10</f>
        <v>16.071082744490543</v>
      </c>
      <c r="Y239" s="206">
        <f>'конкурсная документация'!$B$15*Y10</f>
        <v>17.115703122882426</v>
      </c>
      <c r="Z239" s="206">
        <f>'конкурсная документация'!$B$15*Z10</f>
        <v>18.228223825869783</v>
      </c>
      <c r="AA239" s="206">
        <f>'конкурсная документация'!$B$15*AA10</f>
        <v>19.41305837455132</v>
      </c>
      <c r="AB239" s="206">
        <f>'конкурсная документация'!$B$15*AB10</f>
        <v>20.674907168897157</v>
      </c>
      <c r="AC239" s="206">
        <f>'конкурсная документация'!$B$15*AC10</f>
        <v>22.01877613487547</v>
      </c>
      <c r="AD239" s="206">
        <f>'конкурсная документация'!$B$15*AD10</f>
        <v>23.449996583642374</v>
      </c>
      <c r="AE239" s="206">
        <f>'конкурсная документация'!$B$15*AE10</f>
        <v>24.974246361579127</v>
      </c>
      <c r="AF239" s="206">
        <f>'конкурсная документация'!$B$15*AF10</f>
        <v>26.59757237508177</v>
      </c>
    </row>
    <row r="240" spans="1:32" s="16" customFormat="1" ht="15">
      <c r="A240" s="99" t="s">
        <v>9</v>
      </c>
      <c r="B240" s="216"/>
      <c r="C240" s="195">
        <f aca="true" t="shared" si="147" ref="C240:AF240">SUM(C241:C244)</f>
        <v>693.0885000000001</v>
      </c>
      <c r="D240" s="195">
        <f t="shared" si="147"/>
        <v>726.0880666058667</v>
      </c>
      <c r="E240" s="195">
        <f t="shared" si="147"/>
        <v>772.28069446776</v>
      </c>
      <c r="F240" s="195">
        <f t="shared" si="147"/>
        <v>816.1476687001681</v>
      </c>
      <c r="G240" s="195">
        <f t="shared" si="147"/>
        <v>841.7160676073861</v>
      </c>
      <c r="H240" s="195">
        <f t="shared" si="147"/>
        <v>867.4511640873029</v>
      </c>
      <c r="I240" s="195">
        <f t="shared" si="147"/>
        <v>894.7086995575573</v>
      </c>
      <c r="J240" s="195">
        <f t="shared" si="147"/>
        <v>923.611671202568</v>
      </c>
      <c r="K240" s="195">
        <f t="shared" si="147"/>
        <v>954.2913587459852</v>
      </c>
      <c r="L240" s="195">
        <f t="shared" si="147"/>
        <v>986.8899203171112</v>
      </c>
      <c r="M240" s="195">
        <f t="shared" si="147"/>
        <v>1021.3834878581852</v>
      </c>
      <c r="N240" s="195">
        <f t="shared" si="147"/>
        <v>1060.3997229304923</v>
      </c>
      <c r="O240" s="195">
        <f t="shared" si="147"/>
        <v>1114.0449534187526</v>
      </c>
      <c r="P240" s="195">
        <f t="shared" si="147"/>
        <v>1177.7401438759412</v>
      </c>
      <c r="Q240" s="195">
        <f t="shared" si="147"/>
        <v>1261.3807413005204</v>
      </c>
      <c r="R240" s="195">
        <f t="shared" si="147"/>
        <v>1354.966721340435</v>
      </c>
      <c r="S240" s="195">
        <f t="shared" si="147"/>
        <v>1465.957115084475</v>
      </c>
      <c r="T240" s="195">
        <f t="shared" si="147"/>
        <v>1593.7231108576852</v>
      </c>
      <c r="U240" s="195">
        <f t="shared" si="147"/>
        <v>1729.3514430346058</v>
      </c>
      <c r="V240" s="195">
        <f t="shared" si="147"/>
        <v>1874.6883847491117</v>
      </c>
      <c r="W240" s="195">
        <f t="shared" si="147"/>
        <v>2034.7247526738151</v>
      </c>
      <c r="X240" s="195">
        <f t="shared" si="147"/>
        <v>2203.3271896196125</v>
      </c>
      <c r="Y240" s="195">
        <f t="shared" si="147"/>
        <v>2380.8828941641286</v>
      </c>
      <c r="Z240" s="195">
        <f t="shared" si="147"/>
        <v>2570.620430829828</v>
      </c>
      <c r="AA240" s="195">
        <f t="shared" si="147"/>
        <v>2773.2888493753962</v>
      </c>
      <c r="AB240" s="195">
        <f t="shared" si="147"/>
        <v>2986.2540919614275</v>
      </c>
      <c r="AC240" s="195">
        <f t="shared" si="147"/>
        <v>3209.5765691875886</v>
      </c>
      <c r="AD240" s="195">
        <f t="shared" si="147"/>
        <v>3444.4074870354866</v>
      </c>
      <c r="AE240" s="195">
        <f t="shared" si="147"/>
        <v>3696.9158576457726</v>
      </c>
      <c r="AF240" s="195">
        <f t="shared" si="147"/>
        <v>3960.9777225397784</v>
      </c>
    </row>
    <row r="241" spans="1:32" s="170" customFormat="1" ht="18.75" customHeight="1">
      <c r="A241" s="219" t="s">
        <v>20</v>
      </c>
      <c r="B241" s="218"/>
      <c r="C241" s="206">
        <f>'конкурсная документация'!C72*C12</f>
        <v>0</v>
      </c>
      <c r="D241" s="206">
        <f>'конкурсная документация'!D72*D12</f>
        <v>0</v>
      </c>
      <c r="E241" s="206">
        <f>'конкурсная документация'!E72*E12</f>
        <v>0</v>
      </c>
      <c r="F241" s="206">
        <f>'конкурсная документация'!F72*F12</f>
        <v>0</v>
      </c>
      <c r="G241" s="206">
        <f>'конкурсная документация'!G72*G12</f>
        <v>0</v>
      </c>
      <c r="H241" s="206">
        <f>'конкурсная документация'!H72*H12</f>
        <v>0</v>
      </c>
      <c r="I241" s="206">
        <f>'конкурсная документация'!I72*I12</f>
        <v>0</v>
      </c>
      <c r="J241" s="206">
        <f>'конкурсная документация'!J72*J12</f>
        <v>0</v>
      </c>
      <c r="K241" s="206">
        <f>'конкурсная документация'!K72*K12</f>
        <v>0</v>
      </c>
      <c r="L241" s="206">
        <f>'конкурсная документация'!L72*L12</f>
        <v>0</v>
      </c>
      <c r="M241" s="206">
        <f>'конкурсная документация'!M72*M12</f>
        <v>0</v>
      </c>
      <c r="N241" s="206">
        <f>'конкурсная документация'!N72*N12</f>
        <v>0</v>
      </c>
      <c r="O241" s="206">
        <f>'конкурсная документация'!O72*O12</f>
        <v>0</v>
      </c>
      <c r="P241" s="206">
        <f>'конкурсная документация'!P72*P12</f>
        <v>0</v>
      </c>
      <c r="Q241" s="206">
        <f>'конкурсная документация'!Q72*Q12</f>
        <v>0</v>
      </c>
      <c r="R241" s="206">
        <f>'конкурсная документация'!R72*R12</f>
        <v>0</v>
      </c>
      <c r="S241" s="206">
        <f>'конкурсная документация'!S72*S12</f>
        <v>0</v>
      </c>
      <c r="T241" s="206">
        <f>'конкурсная документация'!T72*T12</f>
        <v>0</v>
      </c>
      <c r="U241" s="206">
        <f>'конкурсная документация'!U72*U12</f>
        <v>0</v>
      </c>
      <c r="V241" s="206">
        <f>'конкурсная документация'!V72*V12</f>
        <v>0</v>
      </c>
      <c r="W241" s="206">
        <f>'конкурсная документация'!W72*W12</f>
        <v>0</v>
      </c>
      <c r="X241" s="206">
        <f>'конкурсная документация'!X72*X12</f>
        <v>0</v>
      </c>
      <c r="Y241" s="206">
        <f>'конкурсная документация'!Y72*Y12</f>
        <v>0</v>
      </c>
      <c r="Z241" s="206">
        <f>'конкурсная документация'!Z72*Z12</f>
        <v>0</v>
      </c>
      <c r="AA241" s="206">
        <f>'конкурсная документация'!AA72*AA12</f>
        <v>0</v>
      </c>
      <c r="AB241" s="206">
        <f>'конкурсная документация'!AB72*AB12</f>
        <v>0</v>
      </c>
      <c r="AC241" s="206">
        <f>'конкурсная документация'!AC72*AC12</f>
        <v>0</v>
      </c>
      <c r="AD241" s="206">
        <f>'конкурсная документация'!AD72*AD12</f>
        <v>0</v>
      </c>
      <c r="AE241" s="206">
        <f>'конкурсная документация'!AE72*AE12</f>
        <v>0</v>
      </c>
      <c r="AF241" s="206">
        <f>'конкурсная документация'!AF72*AF12</f>
        <v>0</v>
      </c>
    </row>
    <row r="242" spans="1:32" s="170" customFormat="1" ht="15">
      <c r="A242" s="219" t="s">
        <v>10</v>
      </c>
      <c r="B242" s="218"/>
      <c r="C242" s="221">
        <f>C229*'конкурсная документация'!$B$10/(1-'конкурсная документация'!$B$10)</f>
        <v>0</v>
      </c>
      <c r="D242" s="221">
        <f>D229*'конкурсная документация'!$B$10/(1-'конкурсная документация'!$B$10)</f>
        <v>0.46750000000000014</v>
      </c>
      <c r="E242" s="221">
        <f>E229*'конкурсная документация'!$B$10/(1-'конкурсная документация'!$B$10)</f>
        <v>9.074267004000003</v>
      </c>
      <c r="F242" s="221">
        <f>F229*'конкурсная документация'!$B$10/(1-'конкурсная документация'!$B$10)</f>
        <v>23.36235153840001</v>
      </c>
      <c r="G242" s="221">
        <f>G229*'конкурсная документация'!$B$10/(1-'конкурсная документация'!$B$10)</f>
        <v>30.169209604243985</v>
      </c>
      <c r="H242" s="221">
        <f>H229*'конкурсная документация'!$B$10/(1-'конкурсная документация'!$B$10)</f>
        <v>36.50466377680653</v>
      </c>
      <c r="I242" s="221">
        <f>I229*'конкурсная документация'!$B$10/(1-'конкурсная документация'!$B$10)</f>
        <v>42.98744635536831</v>
      </c>
      <c r="J242" s="221">
        <f>J229*'конкурсная документация'!$B$10/(1-'конкурсная документация'!$B$10)</f>
        <v>49.64321747927873</v>
      </c>
      <c r="K242" s="221">
        <f>K229*'конкурсная документация'!$B$10/(1-'конкурсная документация'!$B$10)</f>
        <v>56.49911361905161</v>
      </c>
      <c r="L242" s="221">
        <f>L229*'конкурсная документация'!$B$10/(1-'конкурсная документация'!$B$10)</f>
        <v>63.58678774862989</v>
      </c>
      <c r="M242" s="221">
        <f>M229*'конкурсная документация'!$B$10/(1-'конкурсная документация'!$B$10)</f>
        <v>70.93716663365637</v>
      </c>
      <c r="N242" s="221">
        <f>N229*'конкурсная документация'!$B$10/(1-'конкурсная документация'!$B$10)</f>
        <v>78.1162274244464</v>
      </c>
      <c r="O242" s="221">
        <f>O229*'конкурсная документация'!$B$10/(1-'конкурсная документация'!$B$10)</f>
        <v>94.23471920263772</v>
      </c>
      <c r="P242" s="221">
        <f>P229*'конкурсная документация'!$B$10/(1-'конкурсная документация'!$B$10)</f>
        <v>114.03296639067501</v>
      </c>
      <c r="Q242" s="221">
        <f>Q229*'конкурсная документация'!$B$10/(1-'конкурсная документация'!$B$10)</f>
        <v>147.43805794045673</v>
      </c>
      <c r="R242" s="221">
        <f>R229*'конкурсная документация'!$B$10/(1-'конкурсная документация'!$B$10)</f>
        <v>185.81103092215275</v>
      </c>
      <c r="S242" s="221">
        <f>S229*'конкурсная документация'!$B$10/(1-'конкурсная документация'!$B$10)</f>
        <v>234.9942851013148</v>
      </c>
      <c r="T242" s="221">
        <f>T229*'конкурсная документация'!$B$10/(1-'конкурсная документация'!$B$10)</f>
        <v>296.11943081028915</v>
      </c>
      <c r="U242" s="221">
        <f>U229*'конкурсная документация'!$B$10/(1-'конкурсная документация'!$B$10)</f>
        <v>361.890174455185</v>
      </c>
      <c r="V242" s="221">
        <f>V229*'конкурсная документация'!$B$10/(1-'конкурсная документация'!$B$10)</f>
        <v>432.7784492966066</v>
      </c>
      <c r="W242" s="221">
        <f>W229*'конкурсная документация'!$B$10/(1-'конкурсная документация'!$B$10)</f>
        <v>513.673025739097</v>
      </c>
      <c r="X242" s="221">
        <f>X229*'конкурсная документация'!$B$10/(1-'конкурсная документация'!$B$10)</f>
        <v>599.3549721533627</v>
      </c>
      <c r="Y242" s="221">
        <f>Y229*'конкурсная документация'!$B$10/(1-'конкурсная документация'!$B$10)</f>
        <v>689.9537003299442</v>
      </c>
      <c r="Z242" s="221">
        <f>Z229*'конкурсная документация'!$B$10/(1-'конкурсная документация'!$B$10)</f>
        <v>788.4253501848101</v>
      </c>
      <c r="AA242" s="221">
        <f>AA229*'конкурсная документация'!$B$10/(1-'конкурсная документация'!$B$10)</f>
        <v>895.2270362240736</v>
      </c>
      <c r="AB242" s="221">
        <f>AB229*'конкурсная документация'!$B$10/(1-'конкурсная документация'!$B$10)</f>
        <v>1007.4127668195242</v>
      </c>
      <c r="AC242" s="221">
        <f>AC229*'конкурсная документация'!$B$10/(1-'конкурсная документация'!$B$10)</f>
        <v>1124.7092262400474</v>
      </c>
      <c r="AD242" s="221">
        <f>AD229*'конкурсная документация'!$B$10/(1-'конкурсная документация'!$B$10)</f>
        <v>1247.0174778065414</v>
      </c>
      <c r="AE242" s="221">
        <f>AE229*'конкурсная документация'!$B$10/(1-'конкурсная документация'!$B$10)</f>
        <v>1380.1192955285535</v>
      </c>
      <c r="AF242" s="221">
        <f>AF229*'конкурсная документация'!$B$10/(1-'конкурсная документация'!$B$10)</f>
        <v>1518.3693220280884</v>
      </c>
    </row>
    <row r="243" spans="1:32" s="170" customFormat="1" ht="15">
      <c r="A243" s="219" t="s">
        <v>215</v>
      </c>
      <c r="B243" s="221"/>
      <c r="C243" s="221">
        <f>'расчет индексация'!C173</f>
        <v>501.0285</v>
      </c>
      <c r="D243" s="221">
        <f>'расчет индексация'!D173</f>
        <v>514.3545666058667</v>
      </c>
      <c r="E243" s="221">
        <f>'расчет индексация'!E173</f>
        <v>539.26446746376</v>
      </c>
      <c r="F243" s="221">
        <f>'расчет индексация'!F173</f>
        <v>553.167419961768</v>
      </c>
      <c r="G243" s="221">
        <f>'расчет индексация'!G173</f>
        <v>555.1557079991421</v>
      </c>
      <c r="H243" s="221">
        <f>'расчет индексация'!H173</f>
        <v>556.6079698062163</v>
      </c>
      <c r="I243" s="221">
        <f>'расчет индексация'!I173</f>
        <v>558.1790255626092</v>
      </c>
      <c r="J243" s="221">
        <f>'расчет индексация'!J173</f>
        <v>559.8782701489389</v>
      </c>
      <c r="K243" s="221">
        <f>'расчет индексация'!K173</f>
        <v>561.7157487023787</v>
      </c>
      <c r="L243" s="221">
        <f>'расчет индексация'!L173</f>
        <v>563.7012813942076</v>
      </c>
      <c r="M243" s="221">
        <f>'расчет индексация'!M173</f>
        <v>565.6723404680558</v>
      </c>
      <c r="N243" s="221">
        <f>'расчет индексация'!N173</f>
        <v>570.5753360966199</v>
      </c>
      <c r="O243" s="221">
        <f>'расчет индексация'!O173</f>
        <v>579.282503648029</v>
      </c>
      <c r="P243" s="221">
        <f>'расчет индексация'!P173</f>
        <v>592.3425057774143</v>
      </c>
      <c r="Q243" s="221">
        <f>'расчет индексация'!Q173</f>
        <v>609.5824846326623</v>
      </c>
      <c r="R243" s="221">
        <f>'расчет индексация'!R173</f>
        <v>629.4902777799628</v>
      </c>
      <c r="S243" s="221">
        <f>'расчет индексация'!S173</f>
        <v>653.5208384601583</v>
      </c>
      <c r="T243" s="221">
        <f>'расчет индексация'!T173</f>
        <v>679.7407491177839</v>
      </c>
      <c r="U243" s="221">
        <f>'расчет индексация'!U173</f>
        <v>706.347932484736</v>
      </c>
      <c r="V243" s="221">
        <f>'расчет индексация'!V173</f>
        <v>734.5186658311923</v>
      </c>
      <c r="W243" s="221">
        <f>'расчет индексация'!W173</f>
        <v>764.1430684399132</v>
      </c>
      <c r="X243" s="221">
        <f>'расчет индексация'!X173</f>
        <v>794.0799528768084</v>
      </c>
      <c r="Y243" s="221">
        <f>'расчет индексация'!Y173</f>
        <v>824.3444707234819</v>
      </c>
      <c r="Z243" s="221">
        <f>'расчет индексация'!Z173</f>
        <v>854.9494269165663</v>
      </c>
      <c r="AA243" s="221">
        <f>'расчет индексация'!AA173</f>
        <v>885.9089636618793</v>
      </c>
      <c r="AB243" s="221">
        <f>'расчет индексация'!AB173</f>
        <v>917.2377761881987</v>
      </c>
      <c r="AC243" s="221">
        <f>'расчет индексация'!AC173</f>
        <v>948.9515455670773</v>
      </c>
      <c r="AD243" s="221">
        <f>'расчет индексация'!AD173</f>
        <v>981.9601060318489</v>
      </c>
      <c r="AE243" s="221">
        <f>'расчет индексация'!AE173</f>
        <v>1016.2865656963262</v>
      </c>
      <c r="AF243" s="221">
        <f>'расчет индексация'!AF173</f>
        <v>1051.0627043413342</v>
      </c>
    </row>
    <row r="244" spans="1:32" s="170" customFormat="1" ht="15">
      <c r="A244" s="219" t="s">
        <v>18</v>
      </c>
      <c r="B244" s="231"/>
      <c r="C244" s="206">
        <f>'конкурсная документация'!C75*C12</f>
        <v>192.06</v>
      </c>
      <c r="D244" s="206">
        <f>'конкурсная документация'!D75*D12</f>
        <v>211.26600000000002</v>
      </c>
      <c r="E244" s="206">
        <f>'конкурсная документация'!E75*E12</f>
        <v>223.94196000000002</v>
      </c>
      <c r="F244" s="206">
        <f>'конкурсная документация'!F75*F12</f>
        <v>239.61789720000002</v>
      </c>
      <c r="G244" s="206">
        <f>'конкурсная документация'!G75*G12</f>
        <v>256.39115000400005</v>
      </c>
      <c r="H244" s="206">
        <f>'конкурсная документация'!H75*H12</f>
        <v>274.3385305042801</v>
      </c>
      <c r="I244" s="206">
        <f>'конкурсная документация'!I75*I12</f>
        <v>293.5422276395797</v>
      </c>
      <c r="J244" s="206">
        <f>'конкурсная документация'!J75*J12</f>
        <v>314.0901835743503</v>
      </c>
      <c r="K244" s="206">
        <f>'конкурсная документация'!K75*K12</f>
        <v>336.0764964245548</v>
      </c>
      <c r="L244" s="206">
        <f>'конкурсная документация'!L75*L12</f>
        <v>359.60185117427375</v>
      </c>
      <c r="M244" s="206">
        <f>'конкурсная документация'!M75*M12</f>
        <v>384.7739807564729</v>
      </c>
      <c r="N244" s="206">
        <f>'конкурсная документация'!N75*N12</f>
        <v>411.708159409426</v>
      </c>
      <c r="O244" s="206">
        <f>'конкурсная документация'!O75*O12</f>
        <v>440.5277305680858</v>
      </c>
      <c r="P244" s="206">
        <f>'конкурсная документация'!P75*P12</f>
        <v>471.36467170785187</v>
      </c>
      <c r="Q244" s="206">
        <f>'конкурсная документация'!Q75*Q12</f>
        <v>504.3601987274015</v>
      </c>
      <c r="R244" s="206">
        <f>'конкурсная документация'!R75*R12</f>
        <v>539.6654126383196</v>
      </c>
      <c r="S244" s="206">
        <f>'конкурсная документация'!S75*S12</f>
        <v>577.441991523002</v>
      </c>
      <c r="T244" s="206">
        <f>'конкурсная документация'!T75*T12</f>
        <v>617.8629309296122</v>
      </c>
      <c r="U244" s="206">
        <f>'конкурсная документация'!U75*U12</f>
        <v>661.113336094685</v>
      </c>
      <c r="V244" s="206">
        <f>'конкурсная документация'!V75*V12</f>
        <v>707.391269621313</v>
      </c>
      <c r="W244" s="206">
        <f>'конкурсная документация'!W75*W12</f>
        <v>756.908658494805</v>
      </c>
      <c r="X244" s="206">
        <f>'конкурсная документация'!X75*X12</f>
        <v>809.8922645894414</v>
      </c>
      <c r="Y244" s="206">
        <f>'конкурсная документация'!Y75*Y12</f>
        <v>866.5847231107024</v>
      </c>
      <c r="Z244" s="206">
        <f>'конкурсная документация'!Z75*Z12</f>
        <v>927.2456537284517</v>
      </c>
      <c r="AA244" s="206">
        <f>'конкурсная документация'!AA75*AA12</f>
        <v>992.1528494894433</v>
      </c>
      <c r="AB244" s="206">
        <f>'конкурсная документация'!AB75*AB12</f>
        <v>1061.6035489537044</v>
      </c>
      <c r="AC244" s="206">
        <f>'конкурсная документация'!AC75*AC12</f>
        <v>1135.9157973804638</v>
      </c>
      <c r="AD244" s="206">
        <f>'конкурсная документация'!AD75*AD12</f>
        <v>1215.4299031970963</v>
      </c>
      <c r="AE244" s="206">
        <f>'конкурсная документация'!AE75*AE12</f>
        <v>1300.509996420893</v>
      </c>
      <c r="AF244" s="206">
        <f>'конкурсная документация'!AF75*AF12</f>
        <v>1391.5456961703555</v>
      </c>
    </row>
    <row r="245" spans="1:32" s="236" customFormat="1" ht="15">
      <c r="A245" s="178" t="s">
        <v>34</v>
      </c>
      <c r="B245" s="87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</row>
    <row r="246" spans="1:32" s="16" customFormat="1" ht="15">
      <c r="A246" s="99" t="s">
        <v>11</v>
      </c>
      <c r="B246" s="225">
        <f>'конкурсная документация'!B83</f>
        <v>1144.8</v>
      </c>
      <c r="C246" s="195">
        <f aca="true" t="shared" si="148" ref="C246:AF246">C240+C236+C231+C229+C189+C221</f>
        <v>1055.2128851593984</v>
      </c>
      <c r="D246" s="195">
        <f t="shared" si="148"/>
        <v>1126.9856245038138</v>
      </c>
      <c r="E246" s="195">
        <f t="shared" si="148"/>
        <v>1283.1560122074634</v>
      </c>
      <c r="F246" s="195">
        <f t="shared" si="148"/>
        <v>1475.9942410722463</v>
      </c>
      <c r="G246" s="195">
        <f t="shared" si="148"/>
        <v>1565.1383104033293</v>
      </c>
      <c r="H246" s="195">
        <f t="shared" si="148"/>
        <v>1651.7625102205345</v>
      </c>
      <c r="I246" s="195">
        <f t="shared" si="148"/>
        <v>1742.6778138372483</v>
      </c>
      <c r="J246" s="195">
        <f t="shared" si="148"/>
        <v>1838.2344859408454</v>
      </c>
      <c r="K246" s="195">
        <f t="shared" si="148"/>
        <v>1944.4753986862897</v>
      </c>
      <c r="L246" s="195">
        <f t="shared" si="148"/>
        <v>2050.8367591036504</v>
      </c>
      <c r="M246" s="195">
        <f t="shared" si="148"/>
        <v>2162.9285532263525</v>
      </c>
      <c r="N246" s="195">
        <f t="shared" si="148"/>
        <v>2281.042662811855</v>
      </c>
      <c r="O246" s="195">
        <f t="shared" si="148"/>
        <v>2465.9891370431437</v>
      </c>
      <c r="P246" s="195">
        <f t="shared" si="148"/>
        <v>2688.7815248971256</v>
      </c>
      <c r="Q246" s="195">
        <f t="shared" si="148"/>
        <v>2999.971019702228</v>
      </c>
      <c r="R246" s="195">
        <f t="shared" si="148"/>
        <v>3348.132105413207</v>
      </c>
      <c r="S246" s="195">
        <f t="shared" si="148"/>
        <v>3770.9708865160937</v>
      </c>
      <c r="T246" s="195">
        <f t="shared" si="148"/>
        <v>4272.980760254507</v>
      </c>
      <c r="U246" s="195">
        <f t="shared" si="148"/>
        <v>4810.269811602002</v>
      </c>
      <c r="V246" s="195">
        <f t="shared" si="148"/>
        <v>5382.71676357361</v>
      </c>
      <c r="W246" s="195">
        <f t="shared" si="148"/>
        <v>6022.235903648674</v>
      </c>
      <c r="X246" s="195">
        <f t="shared" si="148"/>
        <v>6692.462271751216</v>
      </c>
      <c r="Y246" s="195">
        <f t="shared" si="148"/>
        <v>7347.958234829922</v>
      </c>
      <c r="Z246" s="195">
        <f t="shared" si="148"/>
        <v>8052.133957396655</v>
      </c>
      <c r="AA246" s="195">
        <f t="shared" si="148"/>
        <v>8861.066756945509</v>
      </c>
      <c r="AB246" s="195">
        <f t="shared" si="148"/>
        <v>9713.56085785195</v>
      </c>
      <c r="AC246" s="195">
        <f t="shared" si="148"/>
        <v>10606.161150934538</v>
      </c>
      <c r="AD246" s="195">
        <f t="shared" si="148"/>
        <v>11540.059782830765</v>
      </c>
      <c r="AE246" s="195">
        <f t="shared" si="148"/>
        <v>12551.257379831737</v>
      </c>
      <c r="AF246" s="195">
        <f t="shared" si="148"/>
        <v>13603.56567731451</v>
      </c>
    </row>
    <row r="247" spans="1:32" s="16" customFormat="1" ht="15">
      <c r="A247" s="99" t="s">
        <v>12</v>
      </c>
      <c r="B247" s="202"/>
      <c r="C247" s="210">
        <f>(C246-B246)/B246</f>
        <v>-0.0782556908111474</v>
      </c>
      <c r="D247" s="210">
        <f>(D246-C246)/C246</f>
        <v>0.06801730755360665</v>
      </c>
      <c r="E247" s="210">
        <f>(E246-D246)/D246</f>
        <v>0.1385735401659696</v>
      </c>
      <c r="F247" s="210">
        <f>(F246-E246)/E246</f>
        <v>0.15028432009061451</v>
      </c>
      <c r="G247" s="210">
        <f>(G246-F246)/F246</f>
        <v>0.06039594657654202</v>
      </c>
      <c r="H247" s="210">
        <f aca="true" t="shared" si="149" ref="H247:AF247">(H246-G246)/G246</f>
        <v>0.05534603507014182</v>
      </c>
      <c r="I247" s="210">
        <f t="shared" si="149"/>
        <v>0.05504138945772251</v>
      </c>
      <c r="J247" s="210">
        <f t="shared" si="149"/>
        <v>0.05483324074298525</v>
      </c>
      <c r="K247" s="210">
        <f t="shared" si="149"/>
        <v>0.05779508194302432</v>
      </c>
      <c r="L247" s="210">
        <f t="shared" si="149"/>
        <v>0.05469925743942022</v>
      </c>
      <c r="M247" s="210">
        <f t="shared" si="149"/>
        <v>0.054656614489245636</v>
      </c>
      <c r="N247" s="210">
        <f t="shared" si="149"/>
        <v>0.05460841940863757</v>
      </c>
      <c r="O247" s="210">
        <f t="shared" si="149"/>
        <v>0.08107979620306807</v>
      </c>
      <c r="P247" s="210">
        <f t="shared" si="149"/>
        <v>0.09034605404674334</v>
      </c>
      <c r="Q247" s="210">
        <f t="shared" si="149"/>
        <v>0.11573625150411168</v>
      </c>
      <c r="R247" s="210">
        <f t="shared" si="149"/>
        <v>0.11605481633803796</v>
      </c>
      <c r="S247" s="210">
        <f t="shared" si="149"/>
        <v>0.12629094903968932</v>
      </c>
      <c r="T247" s="210">
        <f t="shared" si="149"/>
        <v>0.13312483411989628</v>
      </c>
      <c r="U247" s="210">
        <f t="shared" si="149"/>
        <v>0.12574104155701674</v>
      </c>
      <c r="V247" s="210">
        <f t="shared" si="149"/>
        <v>0.11900516486433037</v>
      </c>
      <c r="W247" s="210">
        <f t="shared" si="149"/>
        <v>0.11880973273624097</v>
      </c>
      <c r="X247" s="210">
        <f t="shared" si="149"/>
        <v>0.11129194850976752</v>
      </c>
      <c r="Y247" s="210">
        <f t="shared" si="149"/>
        <v>0.09794541029324064</v>
      </c>
      <c r="Z247" s="210">
        <f t="shared" si="149"/>
        <v>0.0958328422756791</v>
      </c>
      <c r="AA247" s="210">
        <f t="shared" si="149"/>
        <v>0.10046191529212846</v>
      </c>
      <c r="AB247" s="210">
        <f t="shared" si="149"/>
        <v>0.0962067123846275</v>
      </c>
      <c r="AC247" s="210">
        <f t="shared" si="149"/>
        <v>0.09189218105953968</v>
      </c>
      <c r="AD247" s="210">
        <f t="shared" si="149"/>
        <v>0.08805246484624067</v>
      </c>
      <c r="AE247" s="210">
        <f t="shared" si="149"/>
        <v>0.08762498774100162</v>
      </c>
      <c r="AF247" s="210">
        <f t="shared" si="149"/>
        <v>0.08384086674644221</v>
      </c>
    </row>
    <row r="248" spans="1:32" s="16" customFormat="1" ht="15">
      <c r="A248" s="99" t="s">
        <v>103</v>
      </c>
      <c r="B248" s="225">
        <f>'конкурсная документация'!B84</f>
        <v>95.4</v>
      </c>
      <c r="C248" s="194">
        <f>'конкурсная документация'!C84</f>
        <v>95.4</v>
      </c>
      <c r="D248" s="194">
        <f>'конкурсная документация'!D84</f>
        <v>95.4</v>
      </c>
      <c r="E248" s="194">
        <f>'конкурсная документация'!E84</f>
        <v>98.8</v>
      </c>
      <c r="F248" s="194">
        <f>'конкурсная документация'!F84</f>
        <v>102.3</v>
      </c>
      <c r="G248" s="194">
        <f>'конкурсная документация'!G84</f>
        <v>105.9</v>
      </c>
      <c r="H248" s="194">
        <f>'конкурсная документация'!H84</f>
        <v>109.7</v>
      </c>
      <c r="I248" s="194">
        <f>'конкурсная документация'!I84</f>
        <v>113.6</v>
      </c>
      <c r="J248" s="194">
        <f>'конкурсная документация'!J84</f>
        <v>117.6</v>
      </c>
      <c r="K248" s="194">
        <f>'конкурсная документация'!K84</f>
        <v>124</v>
      </c>
      <c r="L248" s="194">
        <f>'конкурсная документация'!L84</f>
        <v>124</v>
      </c>
      <c r="M248" s="194">
        <f>'конкурсная документация'!M84</f>
        <v>124</v>
      </c>
      <c r="N248" s="194">
        <f>'конкурсная документация'!N84</f>
        <v>124</v>
      </c>
      <c r="O248" s="194">
        <f>'конкурсная документация'!O84</f>
        <v>124</v>
      </c>
      <c r="P248" s="194">
        <f>'конкурсная документация'!P84</f>
        <v>124</v>
      </c>
      <c r="Q248" s="194">
        <f>'конкурсная документация'!Q84</f>
        <v>124</v>
      </c>
      <c r="R248" s="194">
        <f>'конкурсная документация'!R84</f>
        <v>124</v>
      </c>
      <c r="S248" s="194">
        <f>'конкурсная документация'!S84</f>
        <v>124</v>
      </c>
      <c r="T248" s="194">
        <f>'конкурсная документация'!T84</f>
        <v>124</v>
      </c>
      <c r="U248" s="194">
        <f>'конкурсная документация'!U84</f>
        <v>124</v>
      </c>
      <c r="V248" s="194">
        <f>'конкурсная документация'!V84</f>
        <v>124</v>
      </c>
      <c r="W248" s="194">
        <f>'конкурсная документация'!W84</f>
        <v>124</v>
      </c>
      <c r="X248" s="194">
        <f>'конкурсная документация'!X84</f>
        <v>124</v>
      </c>
      <c r="Y248" s="194">
        <f>'конкурсная документация'!Y84</f>
        <v>124</v>
      </c>
      <c r="Z248" s="194">
        <f>'конкурсная документация'!Z84</f>
        <v>124</v>
      </c>
      <c r="AA248" s="194">
        <f>'конкурсная документация'!AA84</f>
        <v>124</v>
      </c>
      <c r="AB248" s="194">
        <f>'конкурсная документация'!AB84</f>
        <v>124</v>
      </c>
      <c r="AC248" s="194">
        <f>'конкурсная документация'!AC84</f>
        <v>124</v>
      </c>
      <c r="AD248" s="194">
        <f>'конкурсная документация'!AD84</f>
        <v>124</v>
      </c>
      <c r="AE248" s="194">
        <f>'конкурсная документация'!AE84</f>
        <v>124</v>
      </c>
      <c r="AF248" s="194">
        <f>'конкурсная документация'!AF84</f>
        <v>124</v>
      </c>
    </row>
    <row r="249" spans="1:32" s="16" customFormat="1" ht="14.25" customHeight="1">
      <c r="A249" s="99" t="s">
        <v>24</v>
      </c>
      <c r="B249" s="193">
        <f>B246*1000/B248</f>
        <v>12000</v>
      </c>
      <c r="C249" s="198">
        <f aca="true" t="shared" si="150" ref="C249:AF249">C246*1000/C248</f>
        <v>11060.93171026623</v>
      </c>
      <c r="D249" s="198">
        <f t="shared" si="150"/>
        <v>11813.26650423285</v>
      </c>
      <c r="E249" s="198">
        <f t="shared" si="150"/>
        <v>12987.409030439912</v>
      </c>
      <c r="F249" s="198">
        <f t="shared" si="150"/>
        <v>14428.096198164676</v>
      </c>
      <c r="G249" s="198">
        <f t="shared" si="150"/>
        <v>14779.398587377991</v>
      </c>
      <c r="H249" s="198">
        <f t="shared" si="150"/>
        <v>15057.08760456276</v>
      </c>
      <c r="I249" s="198">
        <f t="shared" si="150"/>
        <v>15340.473713356061</v>
      </c>
      <c r="J249" s="198">
        <f t="shared" si="150"/>
        <v>15631.245628748686</v>
      </c>
      <c r="K249" s="198">
        <f t="shared" si="150"/>
        <v>15681.253215212015</v>
      </c>
      <c r="L249" s="198">
        <f t="shared" si="150"/>
        <v>16539.00612180363</v>
      </c>
      <c r="M249" s="198">
        <f t="shared" si="150"/>
        <v>17442.972203438327</v>
      </c>
      <c r="N249" s="198">
        <f t="shared" si="150"/>
        <v>18395.505345256894</v>
      </c>
      <c r="O249" s="198">
        <f t="shared" si="150"/>
        <v>19887.00916970277</v>
      </c>
      <c r="P249" s="198">
        <f t="shared" si="150"/>
        <v>21683.72197497682</v>
      </c>
      <c r="Q249" s="198">
        <f t="shared" si="150"/>
        <v>24193.31467501797</v>
      </c>
      <c r="R249" s="198">
        <f t="shared" si="150"/>
        <v>27001.06536623554</v>
      </c>
      <c r="S249" s="198">
        <f t="shared" si="150"/>
        <v>30411.05553642011</v>
      </c>
      <c r="T249" s="198">
        <f t="shared" si="150"/>
        <v>34459.52226011699</v>
      </c>
      <c r="U249" s="198">
        <f t="shared" si="150"/>
        <v>38792.49848066131</v>
      </c>
      <c r="V249" s="198">
        <f t="shared" si="150"/>
        <v>43409.00615785169</v>
      </c>
      <c r="W249" s="198">
        <f t="shared" si="150"/>
        <v>48566.41857781189</v>
      </c>
      <c r="X249" s="198">
        <f t="shared" si="150"/>
        <v>53971.46993347754</v>
      </c>
      <c r="Y249" s="198">
        <f t="shared" si="150"/>
        <v>59257.72770024131</v>
      </c>
      <c r="Z249" s="198">
        <f t="shared" si="150"/>
        <v>64936.56417255367</v>
      </c>
      <c r="AA249" s="198">
        <f t="shared" si="150"/>
        <v>71460.21578181862</v>
      </c>
      <c r="AB249" s="198">
        <f t="shared" si="150"/>
        <v>78335.16820848348</v>
      </c>
      <c r="AC249" s="198">
        <f t="shared" si="150"/>
        <v>85533.55766882692</v>
      </c>
      <c r="AD249" s="198">
        <f t="shared" si="150"/>
        <v>93064.99824863521</v>
      </c>
      <c r="AE249" s="198">
        <f t="shared" si="150"/>
        <v>101219.8175792882</v>
      </c>
      <c r="AF249" s="198">
        <f t="shared" si="150"/>
        <v>109706.1748170525</v>
      </c>
    </row>
    <row r="250" spans="1:32" s="16" customFormat="1" ht="15">
      <c r="A250" s="7" t="s">
        <v>13</v>
      </c>
      <c r="B250" s="136"/>
      <c r="C250" s="140">
        <f>(C249-B249)/B249</f>
        <v>-0.07825569081114751</v>
      </c>
      <c r="D250" s="140">
        <f>(D249-C249)/C249</f>
        <v>0.06801730755360678</v>
      </c>
      <c r="E250" s="140">
        <f>(E249-D249)/D249</f>
        <v>0.0993918596339422</v>
      </c>
      <c r="F250" s="140">
        <f>(F249-E249)/E249</f>
        <v>0.11092952908067179</v>
      </c>
      <c r="G250" s="140">
        <f>(G249-F249)/F249</f>
        <v>0.024348492301985238</v>
      </c>
      <c r="H250" s="140">
        <f aca="true" t="shared" si="151" ref="H250:AF250">(H249-G249)/G249</f>
        <v>0.018788925377648456</v>
      </c>
      <c r="I250" s="140">
        <f t="shared" si="151"/>
        <v>0.01882077837598735</v>
      </c>
      <c r="J250" s="140">
        <f t="shared" si="151"/>
        <v>0.01895455908506048</v>
      </c>
      <c r="K250" s="140">
        <f t="shared" si="151"/>
        <v>0.0031992067459650224</v>
      </c>
      <c r="L250" s="140">
        <f t="shared" si="151"/>
        <v>0.05469925743942015</v>
      </c>
      <c r="M250" s="140">
        <f t="shared" si="151"/>
        <v>0.05465661448924566</v>
      </c>
      <c r="N250" s="140">
        <f t="shared" si="151"/>
        <v>0.05460841940863756</v>
      </c>
      <c r="O250" s="140">
        <f t="shared" si="151"/>
        <v>0.08107979620306802</v>
      </c>
      <c r="P250" s="140">
        <f t="shared" si="151"/>
        <v>0.0903460540467434</v>
      </c>
      <c r="Q250" s="140">
        <f t="shared" si="151"/>
        <v>0.11573625150411167</v>
      </c>
      <c r="R250" s="140">
        <f t="shared" si="151"/>
        <v>0.11605481633803802</v>
      </c>
      <c r="S250" s="140">
        <f t="shared" si="151"/>
        <v>0.1262909490396892</v>
      </c>
      <c r="T250" s="140">
        <f t="shared" si="151"/>
        <v>0.1331248341198962</v>
      </c>
      <c r="U250" s="140">
        <f t="shared" si="151"/>
        <v>0.12574104155701687</v>
      </c>
      <c r="V250" s="140">
        <f t="shared" si="151"/>
        <v>0.11900516486433037</v>
      </c>
      <c r="W250" s="140">
        <f t="shared" si="151"/>
        <v>0.11880973273624104</v>
      </c>
      <c r="X250" s="140">
        <f t="shared" si="151"/>
        <v>0.1112919485097674</v>
      </c>
      <c r="Y250" s="140">
        <f t="shared" si="151"/>
        <v>0.09794541029324079</v>
      </c>
      <c r="Z250" s="140">
        <f t="shared" si="151"/>
        <v>0.095832842275679</v>
      </c>
      <c r="AA250" s="140">
        <f t="shared" si="151"/>
        <v>0.10046191529212851</v>
      </c>
      <c r="AB250" s="140">
        <f t="shared" si="151"/>
        <v>0.09620671238462761</v>
      </c>
      <c r="AC250" s="140">
        <f t="shared" si="151"/>
        <v>0.09189218105953949</v>
      </c>
      <c r="AD250" s="140">
        <f t="shared" si="151"/>
        <v>0.08805246484624074</v>
      </c>
      <c r="AE250" s="140">
        <f t="shared" si="151"/>
        <v>0.0876249877410015</v>
      </c>
      <c r="AF250" s="140">
        <f t="shared" si="151"/>
        <v>0.0838408667464423</v>
      </c>
    </row>
    <row r="251" spans="1:32" s="91" customFormat="1" ht="15">
      <c r="A251" s="177" t="s">
        <v>44</v>
      </c>
      <c r="B251" s="89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8"/>
      <c r="X251" s="149"/>
      <c r="Y251" s="149"/>
      <c r="Z251" s="149"/>
      <c r="AA251" s="149"/>
      <c r="AB251" s="149"/>
      <c r="AC251" s="149"/>
      <c r="AD251" s="149"/>
      <c r="AE251" s="149"/>
      <c r="AF251" s="149"/>
    </row>
    <row r="252" spans="1:32" s="16" customFormat="1" ht="15">
      <c r="A252" s="226" t="s">
        <v>46</v>
      </c>
      <c r="B252" s="191"/>
      <c r="C252" s="220">
        <f>SUM(C253:C257)</f>
        <v>1071.1628851593985</v>
      </c>
      <c r="D252" s="220">
        <f aca="true" t="shared" si="152" ref="D252:AF252">SUM(D253:D257)</f>
        <v>1144.5801245038137</v>
      </c>
      <c r="E252" s="220">
        <f t="shared" si="152"/>
        <v>1301.7512372074634</v>
      </c>
      <c r="F252" s="220">
        <f t="shared" si="152"/>
        <v>1495.8911318222463</v>
      </c>
      <c r="G252" s="220">
        <f>SUM(G253:G257)</f>
        <v>1586.4279835058294</v>
      </c>
      <c r="H252" s="220">
        <f t="shared" si="152"/>
        <v>1674.5424604402094</v>
      </c>
      <c r="I252" s="220">
        <f t="shared" si="152"/>
        <v>1767.0523605723006</v>
      </c>
      <c r="J252" s="220">
        <f t="shared" si="152"/>
        <v>1864.3152509473514</v>
      </c>
      <c r="K252" s="220">
        <f t="shared" si="152"/>
        <v>1972.3818172432511</v>
      </c>
      <c r="L252" s="220">
        <f t="shared" si="152"/>
        <v>4660.229959092558</v>
      </c>
      <c r="M252" s="220">
        <f t="shared" si="152"/>
        <v>2194.8786118322173</v>
      </c>
      <c r="N252" s="220">
        <f t="shared" si="152"/>
        <v>2315.22922552013</v>
      </c>
      <c r="O252" s="220">
        <f t="shared" si="152"/>
        <v>2502.5687591409983</v>
      </c>
      <c r="P252" s="220">
        <f t="shared" si="152"/>
        <v>2727.9217205418304</v>
      </c>
      <c r="Q252" s="220">
        <f t="shared" si="152"/>
        <v>3041.8510290420627</v>
      </c>
      <c r="R252" s="220">
        <f t="shared" si="152"/>
        <v>3392.943715406829</v>
      </c>
      <c r="S252" s="220">
        <f t="shared" si="152"/>
        <v>3818.9193092092696</v>
      </c>
      <c r="T252" s="220">
        <f t="shared" si="152"/>
        <v>4324.285572536206</v>
      </c>
      <c r="U252" s="220">
        <f t="shared" si="152"/>
        <v>4865.1659607434185</v>
      </c>
      <c r="V252" s="220">
        <f t="shared" si="152"/>
        <v>5441.455643154926</v>
      </c>
      <c r="W252" s="220">
        <f t="shared" si="152"/>
        <v>6085.086504800683</v>
      </c>
      <c r="X252" s="220">
        <f t="shared" si="152"/>
        <v>6759.712414983865</v>
      </c>
      <c r="Y252" s="220">
        <f t="shared" si="152"/>
        <v>7419.915888088856</v>
      </c>
      <c r="Z252" s="220">
        <f t="shared" si="152"/>
        <v>8129.128646383715</v>
      </c>
      <c r="AA252" s="220">
        <f t="shared" si="152"/>
        <v>8943.451074161663</v>
      </c>
      <c r="AB252" s="220">
        <f t="shared" si="152"/>
        <v>9801.712077273234</v>
      </c>
      <c r="AC252" s="220">
        <f t="shared" si="152"/>
        <v>10700.482955715313</v>
      </c>
      <c r="AD252" s="220">
        <f t="shared" si="152"/>
        <v>11640.984113946193</v>
      </c>
      <c r="AE252" s="220">
        <f t="shared" si="152"/>
        <v>12659.246414125248</v>
      </c>
      <c r="AF252" s="220">
        <f t="shared" si="152"/>
        <v>13719.113944008564</v>
      </c>
    </row>
    <row r="253" spans="1:32" s="16" customFormat="1" ht="35.25" customHeight="1">
      <c r="A253" s="227" t="s">
        <v>104</v>
      </c>
      <c r="B253" s="191"/>
      <c r="C253" s="220">
        <f>C246</f>
        <v>1055.2128851593984</v>
      </c>
      <c r="D253" s="220">
        <f aca="true" t="shared" si="153" ref="D253:AF253">D246</f>
        <v>1126.9856245038138</v>
      </c>
      <c r="E253" s="220">
        <f t="shared" si="153"/>
        <v>1283.1560122074634</v>
      </c>
      <c r="F253" s="220">
        <f t="shared" si="153"/>
        <v>1475.9942410722463</v>
      </c>
      <c r="G253" s="220">
        <f t="shared" si="153"/>
        <v>1565.1383104033293</v>
      </c>
      <c r="H253" s="220">
        <f t="shared" si="153"/>
        <v>1651.7625102205345</v>
      </c>
      <c r="I253" s="220">
        <f t="shared" si="153"/>
        <v>1742.6778138372483</v>
      </c>
      <c r="J253" s="220">
        <f t="shared" si="153"/>
        <v>1838.2344859408454</v>
      </c>
      <c r="K253" s="220">
        <f t="shared" si="153"/>
        <v>1944.4753986862897</v>
      </c>
      <c r="L253" s="220">
        <f t="shared" si="153"/>
        <v>2050.8367591036504</v>
      </c>
      <c r="M253" s="220">
        <f t="shared" si="153"/>
        <v>2162.9285532263525</v>
      </c>
      <c r="N253" s="220">
        <f t="shared" si="153"/>
        <v>2281.042662811855</v>
      </c>
      <c r="O253" s="220">
        <f t="shared" si="153"/>
        <v>2465.9891370431437</v>
      </c>
      <c r="P253" s="220">
        <f t="shared" si="153"/>
        <v>2688.7815248971256</v>
      </c>
      <c r="Q253" s="220">
        <f t="shared" si="153"/>
        <v>2999.971019702228</v>
      </c>
      <c r="R253" s="220">
        <f t="shared" si="153"/>
        <v>3348.132105413207</v>
      </c>
      <c r="S253" s="220">
        <f t="shared" si="153"/>
        <v>3770.9708865160937</v>
      </c>
      <c r="T253" s="220">
        <f t="shared" si="153"/>
        <v>4272.980760254507</v>
      </c>
      <c r="U253" s="220">
        <f t="shared" si="153"/>
        <v>4810.269811602002</v>
      </c>
      <c r="V253" s="220">
        <f t="shared" si="153"/>
        <v>5382.71676357361</v>
      </c>
      <c r="W253" s="220">
        <f t="shared" si="153"/>
        <v>6022.235903648674</v>
      </c>
      <c r="X253" s="220">
        <f t="shared" si="153"/>
        <v>6692.462271751216</v>
      </c>
      <c r="Y253" s="220">
        <f t="shared" si="153"/>
        <v>7347.958234829922</v>
      </c>
      <c r="Z253" s="220">
        <f t="shared" si="153"/>
        <v>8052.133957396655</v>
      </c>
      <c r="AA253" s="220">
        <f t="shared" si="153"/>
        <v>8861.066756945509</v>
      </c>
      <c r="AB253" s="220">
        <f t="shared" si="153"/>
        <v>9713.56085785195</v>
      </c>
      <c r="AC253" s="220">
        <f t="shared" si="153"/>
        <v>10606.161150934538</v>
      </c>
      <c r="AD253" s="220">
        <f t="shared" si="153"/>
        <v>11540.059782830765</v>
      </c>
      <c r="AE253" s="220">
        <f t="shared" si="153"/>
        <v>12551.257379831737</v>
      </c>
      <c r="AF253" s="220">
        <f t="shared" si="153"/>
        <v>13603.56567731451</v>
      </c>
    </row>
    <row r="254" spans="1:32" s="16" customFormat="1" ht="79.5" customHeight="1">
      <c r="A254" s="227" t="s">
        <v>228</v>
      </c>
      <c r="B254" s="191"/>
      <c r="C254" s="220">
        <f>IF('основные условия'!$J$10=1,'конкурсные предложения'!B45,'конкурсные предложения'!B48)*C12</f>
        <v>11</v>
      </c>
      <c r="D254" s="220">
        <f>IF('основные условия'!$J$10=1,'конкурсные предложения'!C45,'конкурсные предложения'!C48)*D12</f>
        <v>12.100000000000001</v>
      </c>
      <c r="E254" s="220">
        <f>IF('основные условия'!$J$10=1,'конкурсные предложения'!D45,'конкурсные предложения'!D48)*E12</f>
        <v>12.826000000000002</v>
      </c>
      <c r="F254" s="220">
        <f>IF('основные условия'!$J$10=1,'конкурсные предложения'!E45,'конкурсные предложения'!E48)*F12</f>
        <v>13.723820000000002</v>
      </c>
      <c r="G254" s="220">
        <f>IF('основные условия'!$J$10=1,'конкурсные предложения'!F45,'конкурсные предложения'!F48)*G12</f>
        <v>14.684487400000004</v>
      </c>
      <c r="H254" s="220">
        <f>IF('основные условия'!$J$10=1,'конкурсные предложения'!G45,'конкурсные предложения'!G48)*H12</f>
        <v>15.712401518000005</v>
      </c>
      <c r="I254" s="220">
        <f>IF('основные условия'!$J$10=1,'конкурсные предложения'!H45,'конкурсные предложения'!H48)*I12</f>
        <v>16.812269624260008</v>
      </c>
      <c r="J254" s="220">
        <f>IF('основные условия'!$J$10=1,'конкурсные предложения'!I45,'конкурсные предложения'!I48)*J12</f>
        <v>17.98912849795821</v>
      </c>
      <c r="K254" s="220">
        <f>IF('основные условия'!$J$10=1,'конкурсные предложения'!J45,'конкурсные предложения'!J48)*K12</f>
        <v>19.248367492815284</v>
      </c>
      <c r="L254" s="220">
        <f>IF('основные условия'!$J$10=1,'конкурсные предложения'!K45,'конкурсные предложения'!K48)*L12</f>
        <v>20.595753217312357</v>
      </c>
      <c r="M254" s="220">
        <f>IF('основные условия'!$J$10=1,'конкурсные предложения'!L45,'конкурсные предложения'!L48)*M12</f>
        <v>22.03745594252422</v>
      </c>
      <c r="N254" s="220">
        <f>IF('основные условия'!$J$10=1,'конкурсные предложения'!M45,'конкурсные предложения'!M48)*N12</f>
        <v>23.580077858500918</v>
      </c>
      <c r="O254" s="220">
        <f>IF('основные условия'!$J$10=1,'конкурсные предложения'!N45,'конкурсные предложения'!N48)*O12</f>
        <v>25.23068330859598</v>
      </c>
      <c r="P254" s="220">
        <f>IF('основные условия'!$J$10=1,'конкурсные предложения'!O45,'конкурсные предложения'!O48)*P12</f>
        <v>26.996831140197703</v>
      </c>
      <c r="Q254" s="220">
        <f>IF('основные условия'!$J$10=1,'конкурсные предложения'!P45,'конкурсные предложения'!P48)*Q12</f>
        <v>28.886609320011544</v>
      </c>
      <c r="R254" s="220">
        <f>IF('основные условия'!$J$10=1,'конкурсные предложения'!Q45,'конкурсные предложения'!Q48)*R12</f>
        <v>30.90867197241235</v>
      </c>
      <c r="S254" s="220">
        <f>IF('основные условия'!$J$10=1,'конкурсные предложения'!R45,'конкурсные предложения'!R48)*S12</f>
        <v>33.07227901048122</v>
      </c>
      <c r="T254" s="220">
        <f>IF('основные условия'!$J$10=1,'конкурсные предложения'!S45,'конкурсные предложения'!S48)*T12</f>
        <v>35.3873385412149</v>
      </c>
      <c r="U254" s="220">
        <f>IF('основные условия'!$J$10=1,'конкурсные предложения'!T45,'конкурсные предложения'!T48)*U12</f>
        <v>37.86445223909995</v>
      </c>
      <c r="V254" s="220">
        <f>IF('основные условия'!$J$10=1,'конкурсные предложения'!U45,'конкурсные предложения'!U48)*V12</f>
        <v>40.51496389583694</v>
      </c>
      <c r="W254" s="220">
        <f>IF('основные условия'!$J$10=1,'конкурсные предложения'!V45,'конкурсные предложения'!V48)*W12</f>
        <v>43.351011368545535</v>
      </c>
      <c r="X254" s="220">
        <f>IF('основные условия'!$J$10=1,'конкурсные предложения'!W45,'конкурсные предложения'!W48)*X12</f>
        <v>46.385582164343724</v>
      </c>
      <c r="Y254" s="220">
        <f>IF('основные условия'!$J$10=1,'конкурсные предложения'!X45,'конкурсные предложения'!X48)*Y12</f>
        <v>49.63257291584779</v>
      </c>
      <c r="Z254" s="220">
        <f>IF('основные условия'!$J$10=1,'конкурсные предложения'!Y45,'конкурсные предложения'!Y48)*Z12</f>
        <v>53.10685301995714</v>
      </c>
      <c r="AA254" s="220">
        <f>IF('основные условия'!$J$10=1,'конкурсные предложения'!Z45,'конкурсные предложения'!Z48)*AA12</f>
        <v>56.82433273135415</v>
      </c>
      <c r="AB254" s="220">
        <f>IF('основные условия'!$J$10=1,'конкурсные предложения'!AA45,'конкурсные предложения'!AA48)*AB12</f>
        <v>60.80203602254894</v>
      </c>
      <c r="AC254" s="220">
        <f>IF('основные условия'!$J$10=1,'конкурсные предложения'!AB45,'конкурсные предложения'!AB48)*AC12</f>
        <v>65.05817854412737</v>
      </c>
      <c r="AD254" s="220">
        <f>IF('основные условия'!$J$10=1,'конкурсные предложения'!AC45,'конкурсные предложения'!AC48)*AD12</f>
        <v>69.61225104221629</v>
      </c>
      <c r="AE254" s="220">
        <f>IF('основные условия'!$J$10=1,'конкурсные предложения'!AD45,'конкурсные предложения'!AD48)*AE12</f>
        <v>74.48510861517143</v>
      </c>
      <c r="AF254" s="220">
        <f>IF('основные условия'!$J$10=1,'конкурсные предложения'!AE45,'конкурсные предложения'!AE48)*AF12</f>
        <v>79.69906621823343</v>
      </c>
    </row>
    <row r="255" spans="1:32" s="170" customFormat="1" ht="60.75" customHeight="1">
      <c r="A255" s="229" t="s">
        <v>229</v>
      </c>
      <c r="B255" s="218"/>
      <c r="C255" s="221">
        <f>'конкурсные предложения'!B46*C8</f>
        <v>4.95</v>
      </c>
      <c r="D255" s="221">
        <f>'конкурсные предложения'!C46*D8</f>
        <v>5.494500000000001</v>
      </c>
      <c r="E255" s="221">
        <f>'конкурсные предложения'!D46*E8</f>
        <v>5.769225000000001</v>
      </c>
      <c r="F255" s="221">
        <f>'конкурсные предложения'!E46*F8</f>
        <v>6.173070750000003</v>
      </c>
      <c r="G255" s="221">
        <f>'конкурсные предложения'!F46*G8</f>
        <v>6.605185702500003</v>
      </c>
      <c r="H255" s="221">
        <f>'конкурсные предложения'!G46*H8</f>
        <v>7.067548701675004</v>
      </c>
      <c r="I255" s="221">
        <f>'конкурсные предложения'!H46*I8</f>
        <v>7.562277110792254</v>
      </c>
      <c r="J255" s="221">
        <f>'конкурсные предложения'!I46*J8</f>
        <v>8.091636508547714</v>
      </c>
      <c r="K255" s="221">
        <f>'конкурсные предложения'!J46*K8</f>
        <v>8.658051064146054</v>
      </c>
      <c r="L255" s="221">
        <f>'конкурсные предложения'!K46*L8</f>
        <v>9.264114638636277</v>
      </c>
      <c r="M255" s="221">
        <f>'конкурсные предложения'!L46*M8</f>
        <v>9.912602663340817</v>
      </c>
      <c r="N255" s="221">
        <f>'конкурсные предложения'!M46*N8</f>
        <v>10.606484849774674</v>
      </c>
      <c r="O255" s="221">
        <f>'конкурсные предложения'!N46*O8</f>
        <v>11.348938789258904</v>
      </c>
      <c r="P255" s="221">
        <f>'конкурсные предложения'!O46*P8</f>
        <v>12.143364504507026</v>
      </c>
      <c r="Q255" s="221">
        <f>'конкурсные предложения'!P46*Q8</f>
        <v>12.99340001982252</v>
      </c>
      <c r="R255" s="221">
        <f>'конкурсные предложения'!Q46*R8</f>
        <v>13.902938021210097</v>
      </c>
      <c r="S255" s="221">
        <f>'конкурсные предложения'!R46*S8</f>
        <v>14.876143682694806</v>
      </c>
      <c r="T255" s="221">
        <f>'конкурсные предложения'!S46*T8</f>
        <v>15.917473740483443</v>
      </c>
      <c r="U255" s="221">
        <f>'конкурсные предложения'!T46*U8</f>
        <v>17.031696902317286</v>
      </c>
      <c r="V255" s="221">
        <f>'конкурсные предложения'!U46*V8</f>
        <v>18.223915685479497</v>
      </c>
      <c r="W255" s="221">
        <f>'конкурсные предложения'!V46*W8</f>
        <v>19.49958978346306</v>
      </c>
      <c r="X255" s="221">
        <f>'конкурсные предложения'!W46*X8</f>
        <v>20.864561068305473</v>
      </c>
      <c r="Y255" s="221">
        <f>'конкурсные предложения'!X46*Y8</f>
        <v>22.325080343086857</v>
      </c>
      <c r="Z255" s="221">
        <f>'конкурсные предложения'!Y46*Z8</f>
        <v>23.887835967102937</v>
      </c>
      <c r="AA255" s="221">
        <f>'конкурсные предложения'!Z46*AA8</f>
        <v>25.559984484800147</v>
      </c>
      <c r="AB255" s="221">
        <f>'конкурсные предложения'!AA46*AB8</f>
        <v>27.34918339873616</v>
      </c>
      <c r="AC255" s="221">
        <f>'конкурсные предложения'!AB46*AC8</f>
        <v>29.263626236647692</v>
      </c>
      <c r="AD255" s="221">
        <f>'конкурсные предложения'!AC46*AD8</f>
        <v>31.312080073213032</v>
      </c>
      <c r="AE255" s="221">
        <f>'конкурсные предложения'!AD46*AE8</f>
        <v>33.50392567833795</v>
      </c>
      <c r="AF255" s="221">
        <f>'конкурсные предложения'!AE46*AF8</f>
        <v>35.849200475821604</v>
      </c>
    </row>
    <row r="256" spans="1:32" s="170" customFormat="1" ht="15" customHeight="1">
      <c r="A256" s="229" t="s">
        <v>224</v>
      </c>
      <c r="B256" s="218"/>
      <c r="C256" s="221">
        <f>'конкурсные предложения'!B47*(C8*C12)^(1/2)</f>
        <v>0</v>
      </c>
      <c r="D256" s="221">
        <f>'конкурсные предложения'!C47*(D8*D12)^(1/2)</f>
        <v>0</v>
      </c>
      <c r="E256" s="221">
        <f>'конкурсные предложения'!D47*(E8*E12)^(1/2)</f>
        <v>0</v>
      </c>
      <c r="F256" s="221">
        <f>'конкурсные предложения'!E47*(F8*F12)^(1/2)</f>
        <v>0</v>
      </c>
      <c r="G256" s="221">
        <f>'конкурсные предложения'!F47*(G8*G12)^(1/2)</f>
        <v>0</v>
      </c>
      <c r="H256" s="221">
        <f>'конкурсные предложения'!G47*(H8*H12)^(1/2)</f>
        <v>0</v>
      </c>
      <c r="I256" s="221">
        <f>'конкурсные предложения'!H47*(I8*I12)^(1/2)</f>
        <v>0</v>
      </c>
      <c r="J256" s="221">
        <f>'конкурсные предложения'!I47*(J8*J12)^(1/2)</f>
        <v>0</v>
      </c>
      <c r="K256" s="221">
        <f>'конкурсные предложения'!J47*(K8*K12)^(1/2)</f>
        <v>0</v>
      </c>
      <c r="L256" s="221">
        <f>'конкурсные предложения'!K47*(L8*L12)^(1/2)</f>
        <v>0</v>
      </c>
      <c r="M256" s="221">
        <f>'конкурсные предложения'!L47*(M8*M12)^(1/2)</f>
        <v>0</v>
      </c>
      <c r="N256" s="221">
        <f>'конкурсные предложения'!M47*(N8*N12)^(1/2)</f>
        <v>0</v>
      </c>
      <c r="O256" s="221">
        <f>'конкурсные предложения'!N47*(O8*O12)^(1/2)</f>
        <v>0</v>
      </c>
      <c r="P256" s="221">
        <f>'конкурсные предложения'!O47*(P8*P12)^(1/2)</f>
        <v>0</v>
      </c>
      <c r="Q256" s="221">
        <f>'конкурсные предложения'!P47*(Q8*Q12)^(1/2)</f>
        <v>0</v>
      </c>
      <c r="R256" s="221">
        <f>'конкурсные предложения'!Q47*(R8*R12)^(1/2)</f>
        <v>0</v>
      </c>
      <c r="S256" s="221">
        <f>'конкурсные предложения'!R47*(S8*S12)^(1/2)</f>
        <v>0</v>
      </c>
      <c r="T256" s="221">
        <f>'конкурсные предложения'!S47*(T8*T12)^(1/2)</f>
        <v>0</v>
      </c>
      <c r="U256" s="221">
        <f>'конкурсные предложения'!T47*(U8*U12)^(1/2)</f>
        <v>0</v>
      </c>
      <c r="V256" s="221">
        <f>'конкурсные предложения'!U47*(V8*V12)^(1/2)</f>
        <v>0</v>
      </c>
      <c r="W256" s="221">
        <f>'конкурсные предложения'!V47*(W8*W12)^(1/2)</f>
        <v>0</v>
      </c>
      <c r="X256" s="221">
        <f>'конкурсные предложения'!W47*(X8*X12)^(1/2)</f>
        <v>0</v>
      </c>
      <c r="Y256" s="221">
        <f>'конкурсные предложения'!X47*(Y8*Y12)^(1/2)</f>
        <v>0</v>
      </c>
      <c r="Z256" s="221">
        <f>'конкурсные предложения'!Y47*(Z8*Z12)^(1/2)</f>
        <v>0</v>
      </c>
      <c r="AA256" s="221">
        <f>'конкурсные предложения'!Z47*(AA8*AA12)^(1/2)</f>
        <v>0</v>
      </c>
      <c r="AB256" s="221">
        <f>'конкурсные предложения'!AA47*(AB8*AB12)^(1/2)</f>
        <v>0</v>
      </c>
      <c r="AC256" s="221">
        <f>'конкурсные предложения'!AB47*(AC8*AC12)^(1/2)</f>
        <v>0</v>
      </c>
      <c r="AD256" s="221">
        <f>'конкурсные предложения'!AC47*(AD8*AD12)^(1/2)</f>
        <v>0</v>
      </c>
      <c r="AE256" s="221">
        <f>'конкурсные предложения'!AD47*(AE8*AE12)^(1/2)</f>
        <v>0</v>
      </c>
      <c r="AF256" s="221">
        <f>'конкурсные предложения'!AE47*(AF8*AF12)^(1/2)</f>
        <v>0</v>
      </c>
    </row>
    <row r="257" spans="1:32" s="16" customFormat="1" ht="62.25" customHeight="1">
      <c r="A257" s="227" t="s">
        <v>45</v>
      </c>
      <c r="B257" s="191"/>
      <c r="C257" s="220">
        <f>IF(C$5='основные условия'!$E$19,C191,0)</f>
        <v>0</v>
      </c>
      <c r="D257" s="220">
        <f>IF(D$5='основные условия'!$E$19,D191,0)</f>
        <v>0</v>
      </c>
      <c r="E257" s="220">
        <f>IF(E$5='основные условия'!$E$19,E191,0)</f>
        <v>0</v>
      </c>
      <c r="F257" s="220">
        <f>IF(F$5='основные условия'!$E$19,F191,0)</f>
        <v>0</v>
      </c>
      <c r="G257" s="220">
        <f>IF(G$5='основные условия'!$E$19,G191,0)</f>
        <v>0</v>
      </c>
      <c r="H257" s="220">
        <f>IF(H$5='основные условия'!$E$19,H191,0)</f>
        <v>0</v>
      </c>
      <c r="I257" s="220">
        <f>IF(I$5='основные условия'!$E$19,I191,0)</f>
        <v>0</v>
      </c>
      <c r="J257" s="220">
        <f>IF(J$5='основные условия'!$E$19,J191,0)</f>
        <v>0</v>
      </c>
      <c r="K257" s="220">
        <f>IF(K$5='основные условия'!$E$19,K191,0)</f>
        <v>0</v>
      </c>
      <c r="L257" s="220">
        <f>IF(L$5='основные условия'!$E$19,L191,0)</f>
        <v>2579.533332132959</v>
      </c>
      <c r="M257" s="220">
        <f>IF(M$5='основные условия'!$E$19,M191,0)</f>
        <v>0</v>
      </c>
      <c r="N257" s="220">
        <f>IF(N$5='основные условия'!$E$19,N191,0)</f>
        <v>0</v>
      </c>
      <c r="O257" s="220">
        <f>IF(O$5='основные условия'!$E$19,O191,0)</f>
        <v>0</v>
      </c>
      <c r="P257" s="220">
        <f>IF(P$5='основные условия'!$E$19,P191,0)</f>
        <v>0</v>
      </c>
      <c r="Q257" s="220">
        <f>IF(Q$5='основные условия'!$E$19,Q191,0)</f>
        <v>0</v>
      </c>
      <c r="R257" s="220">
        <f>IF(R$5='основные условия'!$E$19,R191,0)</f>
        <v>0</v>
      </c>
      <c r="S257" s="220">
        <f>IF(S$5='основные условия'!$E$19,S191,0)</f>
        <v>0</v>
      </c>
      <c r="T257" s="220">
        <f>IF(T$5='основные условия'!$E$19,T191,0)</f>
        <v>0</v>
      </c>
      <c r="U257" s="220">
        <f>IF(U$5='основные условия'!$E$19,U191,0)</f>
        <v>0</v>
      </c>
      <c r="V257" s="220">
        <f>IF(V$5='основные условия'!$E$19,V191,0)</f>
        <v>0</v>
      </c>
      <c r="W257" s="220">
        <f>IF(W$5='основные условия'!$E$19,W191,0)</f>
        <v>0</v>
      </c>
      <c r="X257" s="220">
        <f>IF(X$5='основные условия'!$E$19,X191,0)</f>
        <v>0</v>
      </c>
      <c r="Y257" s="220">
        <f>IF(Y$5='основные условия'!$E$19,Y191,0)</f>
        <v>0</v>
      </c>
      <c r="Z257" s="220">
        <f>IF(Z$5='основные условия'!$E$19,Z191,0)</f>
        <v>0</v>
      </c>
      <c r="AA257" s="220">
        <f>IF(AA$5='основные условия'!$E$19,AA191,0)</f>
        <v>0</v>
      </c>
      <c r="AB257" s="220">
        <f>IF(AB$5='основные условия'!$E$19,AB191,0)</f>
        <v>0</v>
      </c>
      <c r="AC257" s="220">
        <f>IF(AC$5='основные условия'!$E$19,AC191,0)</f>
        <v>0</v>
      </c>
      <c r="AD257" s="220">
        <f>IF(AD$5='основные условия'!$E$19,AD191,0)</f>
        <v>0</v>
      </c>
      <c r="AE257" s="220">
        <f>IF(AE$5='основные условия'!$E$19,AE191,0)</f>
        <v>0</v>
      </c>
      <c r="AF257" s="220">
        <f>IF(AF$5='основные условия'!$E$19,AF191,0)</f>
        <v>0</v>
      </c>
    </row>
    <row r="258" spans="1:32" s="16" customFormat="1" ht="15">
      <c r="A258" s="226" t="s">
        <v>44</v>
      </c>
      <c r="B258" s="191"/>
      <c r="C258" s="220">
        <f>C252/((1+'конкурсная документация'!$B$8)^(C5-1))</f>
        <v>1071.1628851593985</v>
      </c>
      <c r="D258" s="220">
        <f>D252/((1+'конкурсная документация'!$B$8)^(D5-1))</f>
        <v>1033.9477186122979</v>
      </c>
      <c r="E258" s="220">
        <f>E252/((1+'конкурсная документация'!$B$8)^(E5-1))</f>
        <v>1062.2647186520724</v>
      </c>
      <c r="F258" s="220">
        <f>F252/((1+'конкурсная документация'!$B$8)^(F5-1))</f>
        <v>1102.6993660536807</v>
      </c>
      <c r="G258" s="220">
        <f>G252/((1+'конкурсная документация'!$B$8)^(G5-1))</f>
        <v>1056.4036143192818</v>
      </c>
      <c r="H258" s="220">
        <f>H252/((1+'конкурсная документация'!$B$8)^(H5-1))</f>
        <v>1007.2982044062094</v>
      </c>
      <c r="I258" s="220">
        <f>I252/((1+'конкурсная документация'!$B$8)^(I5-1))</f>
        <v>960.2044033851174</v>
      </c>
      <c r="J258" s="220">
        <f>J252/((1+'конкурсная документация'!$B$8)^(J5-1))</f>
        <v>915.1367712716151</v>
      </c>
      <c r="K258" s="220">
        <f>K252/((1+'конкурсная документация'!$B$8)^(K5-1))</f>
        <v>874.6011080503993</v>
      </c>
      <c r="L258" s="220">
        <f>L252/((1+'конкурсная документация'!$B$8)^(L5-1))</f>
        <v>1866.718190650514</v>
      </c>
      <c r="M258" s="220">
        <f>M252/((1+'конкурсная документация'!$B$8)^(M5-1))</f>
        <v>794.2080737919495</v>
      </c>
      <c r="N258" s="220">
        <f>N252/((1+'конкурсная документация'!$B$8)^(N5-1))</f>
        <v>756.7809064739473</v>
      </c>
      <c r="O258" s="220">
        <f>O252/((1+'конкурсная документация'!$B$8)^(O5-1))</f>
        <v>738.9491743077455</v>
      </c>
      <c r="P258" s="220">
        <f>P252/((1+'конкурсная документация'!$B$8)^(P5-1))</f>
        <v>727.6337458861966</v>
      </c>
      <c r="Q258" s="220">
        <f>Q252/((1+'конкурсная документация'!$B$8)^(Q5-1))</f>
        <v>732.9447677279309</v>
      </c>
      <c r="R258" s="220">
        <f>R252/((1+'конкурсная документация'!$B$8)^(R5-1))</f>
        <v>738.5201379384234</v>
      </c>
      <c r="S258" s="220">
        <f>S252/((1+'конкурсная документация'!$B$8)^(S5-1))</f>
        <v>750.8938512788166</v>
      </c>
      <c r="T258" s="220">
        <f>T252/((1+'конкурсная документация'!$B$8)^(T5-1))</f>
        <v>768.0770908569765</v>
      </c>
      <c r="U258" s="220">
        <f>U252/((1+'конкурсная документация'!$B$8)^(U5-1))</f>
        <v>780.621455413688</v>
      </c>
      <c r="V258" s="220">
        <f>V252/((1+'конкурсная документация'!$B$8)^(V5-1))</f>
        <v>788.6971956333196</v>
      </c>
      <c r="W258" s="220">
        <f>W252/((1+'конкурсная документация'!$B$8)^(W5-1))</f>
        <v>796.7358128496708</v>
      </c>
      <c r="X258" s="220">
        <f>X252/((1+'конкурсная документация'!$B$8)^(X5-1))</f>
        <v>799.5178813687705</v>
      </c>
      <c r="Y258" s="220">
        <f>Y252/((1+'конкурсная документация'!$B$8)^(Y5-1))</f>
        <v>792.7775127540979</v>
      </c>
      <c r="Z258" s="220">
        <f>Z252/((1+'конкурсная документация'!$B$8)^(Z5-1))</f>
        <v>784.6007451713822</v>
      </c>
      <c r="AA258" s="220">
        <f>AA252/((1+'конкурсная документация'!$B$8)^(AA5-1))</f>
        <v>779.7623006121696</v>
      </c>
      <c r="AB258" s="220">
        <f>AB252/((1+'конкурсная документация'!$B$8)^(AB5-1))</f>
        <v>771.9895456277884</v>
      </c>
      <c r="AC258" s="220">
        <f>AC252/((1+'конкурсная документация'!$B$8)^(AC5-1))</f>
        <v>761.3164901485317</v>
      </c>
      <c r="AD258" s="220">
        <f>AD252/((1+'конкурсная документация'!$B$8)^(AD5-1))</f>
        <v>748.1762757425557</v>
      </c>
      <c r="AE258" s="220">
        <f>AE252/((1+'конкурсная документация'!$B$8)^(AE5-1))</f>
        <v>734.9782189072048</v>
      </c>
      <c r="AF258" s="220">
        <f>AF252/((1+'конкурсная документация'!$B$8)^(AF5-1))</f>
        <v>719.5236240608663</v>
      </c>
    </row>
    <row r="259" spans="1:32" s="16" customFormat="1" ht="30">
      <c r="A259" s="235" t="s">
        <v>111</v>
      </c>
      <c r="B259" s="191"/>
      <c r="C259" s="220">
        <f>SUM(C258*'основные условия'!$K$8,C181*'основные условия'!$K$6,C92*'основные условия'!$K$7)</f>
        <v>3494.7561620980987</v>
      </c>
      <c r="D259" s="220">
        <f>SUM(D258*'основные условия'!$K$8,D181*'основные условия'!$K$6,D92*'основные условия'!$K$7)</f>
        <v>3838.623282592872</v>
      </c>
      <c r="E259" s="220">
        <f>SUM(E258*'основные условия'!$K$8,E181*'основные условия'!$K$6,E92*'основные условия'!$K$7)</f>
        <v>4133.084589296663</v>
      </c>
      <c r="F259" s="220">
        <f>SUM(F258*'основные условия'!$K$8,F181*'основные условия'!$K$6,F92*'основные условия'!$K$7)</f>
        <v>4132.398382841534</v>
      </c>
      <c r="G259" s="220">
        <f>SUM(G258*'основные условия'!$K$8,G181*'основные условия'!$K$6,G92*'основные условия'!$K$7)</f>
        <v>4251.702003290855</v>
      </c>
      <c r="H259" s="220">
        <f>SUM(H258*'основные условия'!$K$8,H181*'основные условия'!$K$6,H92*'основные условия'!$K$7)</f>
        <v>4333.021687158918</v>
      </c>
      <c r="I259" s="220">
        <f>SUM(I258*'основные условия'!$K$8,I181*'основные условия'!$K$6,I92*'основные условия'!$K$7)</f>
        <v>4401.722660947533</v>
      </c>
      <c r="J259" s="220">
        <f>SUM(J258*'основные условия'!$K$8,J181*'основные условия'!$K$6,J92*'основные условия'!$K$7)</f>
        <v>4457.3110381914685</v>
      </c>
      <c r="K259" s="220">
        <f>SUM(K258*'основные условия'!$K$8,K181*'основные условия'!$K$6,K92*'основные условия'!$K$7)</f>
        <v>4510.212527957225</v>
      </c>
      <c r="L259" s="220">
        <f>SUM(L258*'основные условия'!$K$8,L181*'основные условия'!$K$6,L92*'основные условия'!$K$7)</f>
        <v>13786.912865418763</v>
      </c>
      <c r="M259" s="220">
        <f>SUM(M258*'основные условия'!$K$8,M181*'основные условия'!$K$6,M92*'основные условия'!$K$7)</f>
        <v>4564.782671296173</v>
      </c>
      <c r="N259" s="220">
        <f>SUM(N258*'основные условия'!$K$8,N181*'основные условия'!$K$6,N92*'основные условия'!$K$7)</f>
        <v>4685.985800976447</v>
      </c>
      <c r="O259" s="220">
        <f>SUM(O258*'основные условия'!$K$8,O181*'основные условия'!$K$6,O92*'основные условия'!$K$7)</f>
        <v>4831.326268581106</v>
      </c>
      <c r="P259" s="220">
        <f>SUM(P258*'основные условия'!$K$8,P181*'основные условия'!$K$6,P92*'основные условия'!$K$7)</f>
        <v>4973.914658060859</v>
      </c>
      <c r="Q259" s="220">
        <f>SUM(Q258*'основные условия'!$K$8,Q181*'основные условия'!$K$6,Q92*'основные условия'!$K$7)</f>
        <v>5101.946183166144</v>
      </c>
      <c r="R259" s="220">
        <f>SUM(R258*'основные условия'!$K$8,R181*'основные условия'!$K$6,R92*'основные условия'!$K$7)</f>
        <v>5205.515566737327</v>
      </c>
      <c r="S259" s="220">
        <f>SUM(S258*'основные условия'!$K$8,S181*'основные условия'!$K$6,S92*'основные условия'!$K$7)</f>
        <v>5292.861947654412</v>
      </c>
      <c r="T259" s="220">
        <f>SUM(T258*'основные условия'!$K$8,T181*'основные условия'!$K$6,T92*'основные условия'!$K$7)</f>
        <v>5363.730802726524</v>
      </c>
      <c r="U259" s="220">
        <f>SUM(U258*'основные условия'!$K$8,U181*'основные условия'!$K$6,U92*'основные условия'!$K$7)</f>
        <v>5411.555544820007</v>
      </c>
      <c r="V259" s="220">
        <f>SUM(V258*'основные условия'!$K$8,V181*'основные условия'!$K$6,V92*'основные условия'!$K$7)</f>
        <v>5435.901744411452</v>
      </c>
      <c r="W259" s="220">
        <f>SUM(W258*'основные условия'!$K$8,W181*'основные условия'!$K$6,W92*'основные условия'!$K$7)</f>
        <v>5444.064594478619</v>
      </c>
      <c r="X259" s="220">
        <f>SUM(X258*'основные условия'!$K$8,X181*'основные условия'!$K$6,X92*'основные условия'!$K$7)</f>
        <v>5421.718743035638</v>
      </c>
      <c r="Y259" s="220">
        <f>SUM(Y258*'основные условия'!$K$8,Y181*'основные условия'!$K$6,Y92*'основные условия'!$K$7)</f>
        <v>5379.804177732824</v>
      </c>
      <c r="Z259" s="220">
        <f>SUM(Z258*'основные условия'!$K$8,Z181*'основные условия'!$K$6,Z92*'основные условия'!$K$7)</f>
        <v>5330.537895306302</v>
      </c>
      <c r="AA259" s="220">
        <f>SUM(AA258*'основные условия'!$K$8,AA181*'основные условия'!$K$6,AA92*'основные условия'!$K$7)</f>
        <v>5280.136624978743</v>
      </c>
      <c r="AB259" s="220">
        <f>SUM(AB258*'основные условия'!$K$8,AB181*'основные условия'!$K$6,AB92*'основные условия'!$K$7)</f>
        <v>5226.799710400309</v>
      </c>
      <c r="AC259" s="220">
        <f>SUM(AC258*'основные условия'!$K$8,AC181*'основные условия'!$K$6,AC92*'основные условия'!$K$7)</f>
        <v>5168.809067916076</v>
      </c>
      <c r="AD259" s="220">
        <f>SUM(AD258*'основные условия'!$K$8,AD181*'основные условия'!$K$6,AD92*'основные условия'!$K$7)</f>
        <v>5103.018703794133</v>
      </c>
      <c r="AE259" s="220">
        <f>SUM(AE258*'основные условия'!$K$8,AE181*'основные условия'!$K$6,AE92*'основные условия'!$K$7)</f>
        <v>5033.066926600338</v>
      </c>
      <c r="AF259" s="220">
        <f>SUM(AF258*'основные условия'!$K$8,AF181*'основные условия'!$K$6,AF92*'основные условия'!$K$7)</f>
        <v>4959.743452614446</v>
      </c>
    </row>
    <row r="260" spans="1:32" s="16" customFormat="1" ht="30.75" customHeight="1">
      <c r="A260" s="235" t="s">
        <v>112</v>
      </c>
      <c r="B260" s="191">
        <f ca="1">SUM(OFFSET(C259,0,0,1,'основные условия'!E19))</f>
        <v>51339.745199793935</v>
      </c>
      <c r="C260" s="220"/>
      <c r="D260" s="220"/>
      <c r="E260" s="19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198"/>
      <c r="X260" s="199"/>
      <c r="Y260" s="199"/>
      <c r="Z260" s="199"/>
      <c r="AA260" s="199"/>
      <c r="AB260" s="199"/>
      <c r="AC260" s="199"/>
      <c r="AD260" s="199"/>
      <c r="AE260" s="199"/>
      <c r="AF260" s="199"/>
    </row>
  </sheetData>
  <sheetProtection formatCells="0" formatColumns="0" formatRows="0" sort="0" autoFilter="0"/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90" r:id="rId1"/>
  <colBreaks count="1" manualBreakCount="1">
    <brk id="10" max="1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AG64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140625" defaultRowHeight="15"/>
  <cols>
    <col min="1" max="1" width="40.421875" style="0" customWidth="1"/>
    <col min="6" max="6" width="8.57421875" style="0" customWidth="1"/>
    <col min="10" max="10" width="12.7109375" style="0" bestFit="1" customWidth="1"/>
  </cols>
  <sheetData>
    <row r="3" spans="1:32" ht="15">
      <c r="A3" s="362" t="s">
        <v>121</v>
      </c>
      <c r="B3" s="73" t="s">
        <v>120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6"/>
      <c r="X3" s="76"/>
      <c r="Y3" s="76"/>
      <c r="Z3" s="76"/>
      <c r="AA3" s="76"/>
      <c r="AB3" s="76"/>
      <c r="AC3" s="76"/>
      <c r="AD3" s="76"/>
      <c r="AE3" s="76"/>
      <c r="AF3" s="77"/>
    </row>
    <row r="4" spans="1:32" ht="15">
      <c r="A4" s="363"/>
      <c r="B4" s="22">
        <v>0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4">
        <v>24</v>
      </c>
      <c r="AA4" s="24">
        <v>25</v>
      </c>
      <c r="AB4" s="24">
        <v>26</v>
      </c>
      <c r="AC4" s="24">
        <v>27</v>
      </c>
      <c r="AD4" s="24">
        <v>28</v>
      </c>
      <c r="AE4" s="24">
        <v>29</v>
      </c>
      <c r="AF4" s="24">
        <v>30</v>
      </c>
    </row>
    <row r="5" spans="1:32" ht="30">
      <c r="A5" s="350" t="s">
        <v>106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5">
      <c r="A6" s="82" t="s">
        <v>48</v>
      </c>
      <c r="B6" s="150">
        <f>IF(AND('основные условия'!$K$7=1,B$4&lt;('основные условия'!$E$19+1)),'результат расчета'!B41,"")</f>
        <v>1500</v>
      </c>
      <c r="C6" s="150">
        <f>IF(AND('основные условия'!$K$7=1,C$4&lt;('основные условия'!$E$19+1)),'результат расчета'!C41,"")</f>
        <v>1749.7104991609222</v>
      </c>
      <c r="D6" s="150">
        <f>IF(AND('основные условия'!$K$7=1,D$4&lt;('основные условия'!$E$19+1)),'результат расчета'!D41,"")</f>
        <v>2082.361324664299</v>
      </c>
      <c r="E6" s="150">
        <f>IF(AND('основные условия'!$K$7=1,E$4&lt;('основные условия'!$E$19+1)),'результат расчета'!E41,"")</f>
        <v>2319.087740283188</v>
      </c>
      <c r="F6" s="150">
        <f>IF(AND('основные условия'!$K$7=1,F$4&lt;('основные условия'!$E$19+1)),'результат расчета'!F41,"")</f>
        <v>2195.400176536409</v>
      </c>
      <c r="G6" s="150">
        <f>IF(AND('основные условия'!$K$7=1,G$4&lt;('основные условия'!$E$19+1)),'результат расчета'!G41,"")</f>
        <v>2350.813568849334</v>
      </c>
      <c r="H6" s="150">
        <f>IF(AND('основные условия'!$K$7=1,H$4&lt;('основные условия'!$E$19+1)),'результат расчета'!H41,"")</f>
        <v>2485.129124503684</v>
      </c>
      <c r="I6" s="150">
        <f>IF(AND('основные условия'!$K$7=1,I$4&lt;('основные условия'!$E$19+1)),'результат расчета'!I41,"")</f>
        <v>2628.067464885689</v>
      </c>
      <c r="J6" s="150">
        <f>IF(AND('основные условия'!$K$7=1,J$4&lt;('основные условия'!$E$19+1)),'результат расчета'!J41,"")</f>
        <v>2780.1232767571514</v>
      </c>
      <c r="K6" s="150">
        <f>IF(AND('основные условия'!$K$7=1,K$4&lt;('основные условия'!$E$19+1)),'результат расчета'!K41,"")</f>
        <v>2958.8036591153386</v>
      </c>
      <c r="L6" s="150">
        <f>IF(AND('основные условия'!$K$7=1,L$4&lt;('основные условия'!$E$19+1)),'результат расчета'!L41,"")</f>
        <v>5006.6002157907915</v>
      </c>
      <c r="M6" s="150">
        <f>IF(AND('основные условия'!$K$7=1,M$4&lt;('основные условия'!$E$19+1)),'результат расчета'!M41,"")</f>
      </c>
      <c r="N6" s="150">
        <f>IF(AND('основные условия'!$K$7=1,N$4&lt;('основные условия'!$E$19+1)),'результат расчета'!N41,"")</f>
      </c>
      <c r="O6" s="150">
        <f>IF(AND('основные условия'!$K$7=1,O$4&lt;('основные условия'!$E$19+1)),'результат расчета'!O41,"")</f>
      </c>
      <c r="P6" s="150">
        <f>IF(AND('основные условия'!$K$7=1,P$4&lt;('основные условия'!$E$19+1)),'результат расчета'!P41,"")</f>
      </c>
      <c r="Q6" s="150">
        <f>IF(AND('основные условия'!$K$7=1,Q$4&lt;('основные условия'!$E$19+1)),'результат расчета'!Q41,"")</f>
      </c>
      <c r="R6" s="150">
        <f>IF(AND('основные условия'!$K$7=1,R$4&lt;('основные условия'!$E$19+1)),'результат расчета'!R41,"")</f>
      </c>
      <c r="S6" s="150">
        <f>IF(AND('основные условия'!$K$7=1,S$4&lt;('основные условия'!$E$19+1)),'результат расчета'!S41,"")</f>
      </c>
      <c r="T6" s="150">
        <f>IF(AND('основные условия'!$K$7=1,T$4&lt;('основные условия'!$E$19+1)),'результат расчета'!T41,"")</f>
      </c>
      <c r="U6" s="150">
        <f>IF(AND('основные условия'!$K$7=1,U$4&lt;('основные условия'!$E$19+1)),'результат расчета'!U41,"")</f>
      </c>
      <c r="V6" s="150">
        <f>IF(AND('основные условия'!$K$7=1,V$4&lt;('основные условия'!$E$19+1)),'результат расчета'!V41,"")</f>
      </c>
      <c r="W6" s="150">
        <f>IF(AND('основные условия'!$K$7=1,W$4&lt;('основные условия'!$E$19+1)),'результат расчета'!W41,"")</f>
      </c>
      <c r="X6" s="150">
        <f>IF(AND('основные условия'!$K$7=1,X$4&lt;('основные условия'!$E$19+1)),'результат расчета'!X41,"")</f>
      </c>
      <c r="Y6" s="150">
        <f>IF(AND('основные условия'!$K$7=1,Y$4&lt;('основные условия'!$E$19+1)),'результат расчета'!Y41,"")</f>
      </c>
      <c r="Z6" s="150">
        <f>IF(AND('основные условия'!$K$7=1,Z$4&lt;('основные условия'!$E$19+1)),'результат расчета'!Z41,"")</f>
      </c>
      <c r="AA6" s="150">
        <f>IF(AND('основные условия'!$K$7=1,AA$4&lt;('основные условия'!$E$19+1)),'результат расчета'!AA41,"")</f>
      </c>
      <c r="AB6" s="150">
        <f>IF(AND('основные условия'!$K$7=1,AB$4&lt;('основные условия'!$E$19+1)),'результат расчета'!AB41,"")</f>
      </c>
      <c r="AC6" s="150">
        <f>IF(AND('основные условия'!$K$7=1,AC$4&lt;('основные условия'!$E$19+1)),'результат расчета'!AC41,"")</f>
      </c>
      <c r="AD6" s="150">
        <f>IF(AND('основные условия'!$K$7=1,AD$4&lt;('основные условия'!$E$19+1)),'результат расчета'!AD41,"")</f>
      </c>
      <c r="AE6" s="150">
        <f>IF(AND('основные условия'!$K$7=1,AE$4&lt;('основные условия'!$E$19+1)),'результат расчета'!AE41,"")</f>
      </c>
      <c r="AF6" s="150">
        <f>IF(AND('основные условия'!$K$7=1,AF$4&lt;('основные условия'!$E$19+1)),'результат расчета'!AF41,"")</f>
      </c>
    </row>
    <row r="7" spans="1:32" ht="15">
      <c r="A7" s="21" t="s">
        <v>47</v>
      </c>
      <c r="B7" s="150">
        <f>IF(AND('основные условия'!$K$7=1,B$4&lt;('основные условия'!$E$19+1)),'результат расчета'!B42,"")</f>
        <v>1500</v>
      </c>
      <c r="C7" s="150">
        <f>IF(AND('основные условия'!$K$7=1,C$4&lt;('основные условия'!$E$19+1)),'результат расчета'!C42,"")</f>
        <v>1722.2104991609222</v>
      </c>
      <c r="D7" s="150">
        <f>IF(AND('основные условия'!$K$7=1,D$4&lt;('основные условия'!$E$19+1)),'результат расчета'!D42,"")</f>
        <v>2051.891449099325</v>
      </c>
      <c r="E7" s="150">
        <f>IF(AND('основные условия'!$K$7=1,E$4&lt;('основные условия'!$E$19+1)),'результат расчета'!E42,"")</f>
        <v>2287.0337405780624</v>
      </c>
      <c r="F7" s="150">
        <f>IF(AND('основные условия'!$K$7=1,F$4&lt;('основные условия'!$E$19+1)),'результат расчета'!F42,"")</f>
        <v>2161.102396851925</v>
      </c>
      <c r="G7" s="150">
        <f>IF(AND('основные условия'!$K$7=1,G$4&lt;('основные условия'!$E$19+1)),'результат расчета'!G42,"")</f>
        <v>2314.114944586936</v>
      </c>
      <c r="H7" s="150">
        <f>IF(AND('основные условия'!$K$7=1,H$4&lt;('основные условия'!$E$19+1)),'результат расчета'!H42,"")</f>
        <v>2445.861596542918</v>
      </c>
      <c r="I7" s="150">
        <f>IF(AND('основные условия'!$K$7=1,I$4&lt;('основные условия'!$E$19+1)),'результат расчета'!I42,"")</f>
        <v>2586.0512099676694</v>
      </c>
      <c r="J7" s="150">
        <f>IF(AND('основные условия'!$K$7=1,J$4&lt;('основные условия'!$E$19+1)),'результат расчета'!J42,"")</f>
        <v>2735.1658839948705</v>
      </c>
      <c r="K7" s="150">
        <f>IF(AND('основные условия'!$K$7=1,K$4&lt;('основные условия'!$E$19+1)),'результат расчета'!K42,"")</f>
        <v>2910.699248859698</v>
      </c>
      <c r="L7" s="150">
        <f>IF(AND('основные условия'!$K$7=1,L$4&lt;('основные условия'!$E$19+1)),'результат расчета'!L42,"")</f>
        <v>3080.7388154368055</v>
      </c>
      <c r="M7" s="150">
        <f>IF(AND('основные условия'!$K$7=1,M$4&lt;('основные условия'!$E$19+1)),'результат расчета'!M42,"")</f>
      </c>
      <c r="N7" s="150">
        <f>IF(AND('основные условия'!$K$7=1,N$4&lt;('основные условия'!$E$19+1)),'результат расчета'!N42,"")</f>
      </c>
      <c r="O7" s="150">
        <f>IF(AND('основные условия'!$K$7=1,O$4&lt;('основные условия'!$E$19+1)),'результат расчета'!O42,"")</f>
      </c>
      <c r="P7" s="150">
        <f>IF(AND('основные условия'!$K$7=1,P$4&lt;('основные условия'!$E$19+1)),'результат расчета'!P42,"")</f>
      </c>
      <c r="Q7" s="150">
        <f>IF(AND('основные условия'!$K$7=1,Q$4&lt;('основные условия'!$E$19+1)),'результат расчета'!Q42,"")</f>
      </c>
      <c r="R7" s="150">
        <f>IF(AND('основные условия'!$K$7=1,R$4&lt;('основные условия'!$E$19+1)),'результат расчета'!R42,"")</f>
      </c>
      <c r="S7" s="150">
        <f>IF(AND('основные условия'!$K$7=1,S$4&lt;('основные условия'!$E$19+1)),'результат расчета'!S42,"")</f>
      </c>
      <c r="T7" s="150">
        <f>IF(AND('основные условия'!$K$7=1,T$4&lt;('основные условия'!$E$19+1)),'результат расчета'!T42,"")</f>
      </c>
      <c r="U7" s="150">
        <f>IF(AND('основные условия'!$K$7=1,U$4&lt;('основные условия'!$E$19+1)),'результат расчета'!U42,"")</f>
      </c>
      <c r="V7" s="150">
        <f>IF(AND('основные условия'!$K$7=1,V$4&lt;('основные условия'!$E$19+1)),'результат расчета'!V42,"")</f>
      </c>
      <c r="W7" s="150">
        <f>IF(AND('основные условия'!$K$7=1,W$4&lt;('основные условия'!$E$19+1)),'результат расчета'!W42,"")</f>
      </c>
      <c r="X7" s="150">
        <f>IF(AND('основные условия'!$K$7=1,X$4&lt;('основные условия'!$E$19+1)),'результат расчета'!X42,"")</f>
      </c>
      <c r="Y7" s="150">
        <f>IF(AND('основные условия'!$K$7=1,Y$4&lt;('основные условия'!$E$19+1)),'результат расчета'!Y42,"")</f>
      </c>
      <c r="Z7" s="150">
        <f>IF(AND('основные условия'!$K$7=1,Z$4&lt;('основные условия'!$E$19+1)),'результат расчета'!Z42,"")</f>
      </c>
      <c r="AA7" s="150">
        <f>IF(AND('основные условия'!$K$7=1,AA$4&lt;('основные условия'!$E$19+1)),'результат расчета'!AA42,"")</f>
      </c>
      <c r="AB7" s="150">
        <f>IF(AND('основные условия'!$K$7=1,AB$4&lt;('основные условия'!$E$19+1)),'результат расчета'!AB42,"")</f>
      </c>
      <c r="AC7" s="150">
        <f>IF(AND('основные условия'!$K$7=1,AC$4&lt;('основные условия'!$E$19+1)),'результат расчета'!AC42,"")</f>
      </c>
      <c r="AD7" s="150">
        <f>IF(AND('основные условия'!$K$7=1,AD$4&lt;('основные условия'!$E$19+1)),'результат расчета'!AD42,"")</f>
      </c>
      <c r="AE7" s="150">
        <f>IF(AND('основные условия'!$K$7=1,AE$4&lt;('основные условия'!$E$19+1)),'результат расчета'!AE42,"")</f>
      </c>
      <c r="AF7" s="150">
        <f>IF(AND('основные условия'!$K$7=1,AF$4&lt;('основные условия'!$E$19+1)),'результат расчета'!AF42,"")</f>
      </c>
    </row>
    <row r="8" spans="1:32" ht="74.25" customHeight="1">
      <c r="A8" s="19" t="s">
        <v>228</v>
      </c>
      <c r="B8" s="150">
        <f>IF(AND('основные условия'!$K$7=1,B$4&lt;('основные условия'!$E$19+1)),'результат расчета'!B43,"")</f>
        <v>0</v>
      </c>
      <c r="C8" s="150">
        <f>IF(AND('основные условия'!$K$7=1,C$4&lt;('основные условия'!$E$19+1)),'результат расчета'!C43,"")</f>
        <v>0</v>
      </c>
      <c r="D8" s="150">
        <f>IF(AND('основные условия'!$K$7=1,D$4&lt;('основные условия'!$E$19+1)),'результат расчета'!D43,"")</f>
        <v>0</v>
      </c>
      <c r="E8" s="150">
        <f>IF(AND('основные условия'!$K$7=1,E$4&lt;('основные условия'!$E$19+1)),'результат расчета'!E43,"")</f>
        <v>0</v>
      </c>
      <c r="F8" s="150">
        <f>IF(AND('основные условия'!$K$7=1,F$4&lt;('основные условия'!$E$19+1)),'результат расчета'!F43,"")</f>
        <v>0</v>
      </c>
      <c r="G8" s="150">
        <f>IF(AND('основные условия'!$K$7=1,G$4&lt;('основные условия'!$E$19+1)),'результат расчета'!G43,"")</f>
        <v>0</v>
      </c>
      <c r="H8" s="150">
        <f>IF(AND('основные условия'!$K$7=1,H$4&lt;('основные условия'!$E$19+1)),'результат расчета'!H43,"")</f>
        <v>0</v>
      </c>
      <c r="I8" s="150">
        <f>IF(AND('основные условия'!$K$7=1,I$4&lt;('основные условия'!$E$19+1)),'результат расчета'!I43,"")</f>
        <v>0</v>
      </c>
      <c r="J8" s="150">
        <f>IF(AND('основные условия'!$K$7=1,J$4&lt;('основные условия'!$E$19+1)),'результат расчета'!J43,"")</f>
        <v>0</v>
      </c>
      <c r="K8" s="150">
        <f>IF(AND('основные условия'!$K$7=1,K$4&lt;('основные условия'!$E$19+1)),'результат расчета'!K43,"")</f>
        <v>0</v>
      </c>
      <c r="L8" s="150">
        <f>IF(AND('основные условия'!$K$7=1,L$4&lt;('основные условия'!$E$19+1)),'результат расчета'!L43,"")</f>
        <v>0</v>
      </c>
      <c r="M8" s="150">
        <f>IF(AND('основные условия'!$K$7=1,M$4&lt;('основные условия'!$E$19+1)),'результат расчета'!M43,"")</f>
      </c>
      <c r="N8" s="150">
        <f>IF(AND('основные условия'!$K$7=1,N$4&lt;('основные условия'!$E$19+1)),'результат расчета'!N43,"")</f>
      </c>
      <c r="O8" s="150">
        <f>IF(AND('основные условия'!$K$7=1,O$4&lt;('основные условия'!$E$19+1)),'результат расчета'!O43,"")</f>
      </c>
      <c r="P8" s="150">
        <f>IF(AND('основные условия'!$K$7=1,P$4&lt;('основные условия'!$E$19+1)),'результат расчета'!P43,"")</f>
      </c>
      <c r="Q8" s="150">
        <f>IF(AND('основные условия'!$K$7=1,Q$4&lt;('основные условия'!$E$19+1)),'результат расчета'!Q43,"")</f>
      </c>
      <c r="R8" s="150">
        <f>IF(AND('основные условия'!$K$7=1,R$4&lt;('основные условия'!$E$19+1)),'результат расчета'!R43,"")</f>
      </c>
      <c r="S8" s="150">
        <f>IF(AND('основные условия'!$K$7=1,S$4&lt;('основные условия'!$E$19+1)),'результат расчета'!S43,"")</f>
      </c>
      <c r="T8" s="150">
        <f>IF(AND('основные условия'!$K$7=1,T$4&lt;('основные условия'!$E$19+1)),'результат расчета'!T43,"")</f>
      </c>
      <c r="U8" s="150">
        <f>IF(AND('основные условия'!$K$7=1,U$4&lt;('основные условия'!$E$19+1)),'результат расчета'!U43,"")</f>
      </c>
      <c r="V8" s="150">
        <f>IF(AND('основные условия'!$K$7=1,V$4&lt;('основные условия'!$E$19+1)),'результат расчета'!V43,"")</f>
      </c>
      <c r="W8" s="150">
        <f>IF(AND('основные условия'!$K$7=1,W$4&lt;('основные условия'!$E$19+1)),'результат расчета'!W43,"")</f>
      </c>
      <c r="X8" s="150">
        <f>IF(AND('основные условия'!$K$7=1,X$4&lt;('основные условия'!$E$19+1)),'результат расчета'!X43,"")</f>
      </c>
      <c r="Y8" s="150">
        <f>IF(AND('основные условия'!$K$7=1,Y$4&lt;('основные условия'!$E$19+1)),'результат расчета'!Y43,"")</f>
      </c>
      <c r="Z8" s="150">
        <f>IF(AND('основные условия'!$K$7=1,Z$4&lt;('основные условия'!$E$19+1)),'результат расчета'!Z43,"")</f>
      </c>
      <c r="AA8" s="150">
        <f>IF(AND('основные условия'!$K$7=1,AA$4&lt;('основные условия'!$E$19+1)),'результат расчета'!AA43,"")</f>
      </c>
      <c r="AB8" s="150">
        <f>IF(AND('основные условия'!$K$7=1,AB$4&lt;('основные условия'!$E$19+1)),'результат расчета'!AB43,"")</f>
      </c>
      <c r="AC8" s="150">
        <f>IF(AND('основные условия'!$K$7=1,AC$4&lt;('основные условия'!$E$19+1)),'результат расчета'!AC43,"")</f>
      </c>
      <c r="AD8" s="150">
        <f>IF(AND('основные условия'!$K$7=1,AD$4&lt;('основные условия'!$E$19+1)),'результат расчета'!AD43,"")</f>
      </c>
      <c r="AE8" s="150">
        <f>IF(AND('основные условия'!$K$7=1,AE$4&lt;('основные условия'!$E$19+1)),'результат расчета'!AE43,"")</f>
      </c>
      <c r="AF8" s="150">
        <f>IF(AND('основные условия'!$K$7=1,AF$4&lt;('основные условия'!$E$19+1)),'результат расчета'!AF43,"")</f>
      </c>
    </row>
    <row r="9" spans="1:32" s="168" customFormat="1" ht="60">
      <c r="A9" s="166" t="s">
        <v>229</v>
      </c>
      <c r="B9" s="167"/>
      <c r="C9" s="167">
        <f>IF(AND('основные условия'!$K$7=1,C$4&lt;('основные условия'!$E$19+1)),'результат расчета'!C44,"")</f>
        <v>16.5</v>
      </c>
      <c r="D9" s="167">
        <f>IF(AND('основные условия'!$K$7=1,D$4&lt;('основные условия'!$E$19+1)),'результат расчета'!D44,"")</f>
        <v>18.315000000000005</v>
      </c>
      <c r="E9" s="167">
        <f>IF(AND('основные условия'!$K$7=1,E$4&lt;('основные условия'!$E$19+1)),'результат расчета'!E44,"")</f>
        <v>19.230750000000004</v>
      </c>
      <c r="F9" s="167">
        <f>IF(AND('основные условия'!$K$7=1,F$4&lt;('основные условия'!$E$19+1)),'результат расчета'!F44,"")</f>
        <v>20.57690250000001</v>
      </c>
      <c r="G9" s="167">
        <f>IF(AND('основные условия'!$K$7=1,G$4&lt;('основные условия'!$E$19+1)),'результат расчета'!G44,"")</f>
        <v>22.01728567500001</v>
      </c>
      <c r="H9" s="167">
        <f>IF(AND('основные условия'!$K$7=1,H$4&lt;('основные условия'!$E$19+1)),'результат расчета'!H44,"")</f>
        <v>23.55849567225001</v>
      </c>
      <c r="I9" s="167">
        <f>IF(AND('основные условия'!$K$7=1,I$4&lt;('основные условия'!$E$19+1)),'результат расчета'!I44,"")</f>
        <v>25.207590369307514</v>
      </c>
      <c r="J9" s="167">
        <f>IF(AND('основные условия'!$K$7=1,J$4&lt;('основные условия'!$E$19+1)),'результат расчета'!J44,"")</f>
        <v>26.972121695159043</v>
      </c>
      <c r="K9" s="167">
        <f>IF(AND('основные условия'!$K$7=1,K$4&lt;('основные условия'!$E$19+1)),'результат расчета'!K44,"")</f>
        <v>28.860170213820176</v>
      </c>
      <c r="L9" s="167">
        <f>IF(AND('основные условия'!$K$7=1,L$4&lt;('основные условия'!$E$19+1)),'результат расчета'!L44,"")</f>
        <v>30.880382128787588</v>
      </c>
      <c r="M9" s="167">
        <f>IF(AND('основные условия'!$K$7=1,M$4&lt;('основные условия'!$E$19+1)),'результат расчета'!M44,"")</f>
      </c>
      <c r="N9" s="167">
        <f>IF(AND('основные условия'!$K$7=1,N$4&lt;('основные условия'!$E$19+1)),'результат расчета'!N44,"")</f>
      </c>
      <c r="O9" s="167">
        <f>IF(AND('основные условия'!$K$7=1,O$4&lt;('основные условия'!$E$19+1)),'результат расчета'!O44,"")</f>
      </c>
      <c r="P9" s="167">
        <f>IF(AND('основные условия'!$K$7=1,P$4&lt;('основные условия'!$E$19+1)),'результат расчета'!P44,"")</f>
      </c>
      <c r="Q9" s="167">
        <f>IF(AND('основные условия'!$K$7=1,Q$4&lt;('основные условия'!$E$19+1)),'результат расчета'!Q44,"")</f>
      </c>
      <c r="R9" s="167">
        <f>IF(AND('основные условия'!$K$7=1,R$4&lt;('основные условия'!$E$19+1)),'результат расчета'!R44,"")</f>
      </c>
      <c r="S9" s="167">
        <f>IF(AND('основные условия'!$K$7=1,S$4&lt;('основные условия'!$E$19+1)),'результат расчета'!S44,"")</f>
      </c>
      <c r="T9" s="167">
        <f>IF(AND('основные условия'!$K$7=1,T$4&lt;('основные условия'!$E$19+1)),'результат расчета'!T44,"")</f>
      </c>
      <c r="U9" s="167">
        <f>IF(AND('основные условия'!$K$7=1,U$4&lt;('основные условия'!$E$19+1)),'результат расчета'!U44,"")</f>
      </c>
      <c r="V9" s="167">
        <f>IF(AND('основные условия'!$K$7=1,V$4&lt;('основные условия'!$E$19+1)),'результат расчета'!V44,"")</f>
      </c>
      <c r="W9" s="167">
        <f>IF(AND('основные условия'!$K$7=1,W$4&lt;('основные условия'!$E$19+1)),'результат расчета'!W44,"")</f>
      </c>
      <c r="X9" s="167">
        <f>IF(AND('основные условия'!$K$7=1,X$4&lt;('основные условия'!$E$19+1)),'результат расчета'!X44,"")</f>
      </c>
      <c r="Y9" s="167">
        <f>IF(AND('основные условия'!$K$7=1,Y$4&lt;('основные условия'!$E$19+1)),'результат расчета'!Y44,"")</f>
      </c>
      <c r="Z9" s="167">
        <f>IF(AND('основные условия'!$K$7=1,Z$4&lt;('основные условия'!$E$19+1)),'результат расчета'!Z44,"")</f>
      </c>
      <c r="AA9" s="167">
        <f>IF(AND('основные условия'!$K$7=1,AA$4&lt;('основные условия'!$E$19+1)),'результат расчета'!AA44,"")</f>
      </c>
      <c r="AB9" s="167">
        <f>IF(AND('основные условия'!$K$7=1,AB$4&lt;('основные условия'!$E$19+1)),'результат расчета'!AB44,"")</f>
      </c>
      <c r="AC9" s="167">
        <f>IF(AND('основные условия'!$K$7=1,AC$4&lt;('основные условия'!$E$19+1)),'результат расчета'!AC44,"")</f>
      </c>
      <c r="AD9" s="167">
        <f>IF(AND('основные условия'!$K$7=1,AD$4&lt;('основные условия'!$E$19+1)),'результат расчета'!AD44,"")</f>
      </c>
      <c r="AE9" s="167">
        <f>IF(AND('основные условия'!$K$7=1,AE$4&lt;('основные условия'!$E$19+1)),'результат расчета'!AE44,"")</f>
      </c>
      <c r="AF9" s="167">
        <f>IF(AND('основные условия'!$K$7=1,AF$4&lt;('основные условия'!$E$19+1)),'результат расчета'!AF44,"")</f>
      </c>
    </row>
    <row r="10" spans="1:32" s="168" customFormat="1" ht="15">
      <c r="A10" s="166" t="s">
        <v>224</v>
      </c>
      <c r="B10" s="167"/>
      <c r="C10" s="167">
        <f>IF(AND('основные условия'!$K$7=1,C$4&lt;('основные условия'!$E$19+1)),'результат расчета'!C45,"")</f>
        <v>11</v>
      </c>
      <c r="D10" s="167">
        <f>IF(AND('основные условия'!$K$7=1,D$4&lt;('основные условия'!$E$19+1)),'результат расчета'!D45,"")</f>
        <v>12.154875564973919</v>
      </c>
      <c r="E10" s="167">
        <f>IF(AND('основные условия'!$K$7=1,E$4&lt;('основные условия'!$E$19+1)),'результат расчета'!E45,"")</f>
        <v>12.823249705125455</v>
      </c>
      <c r="F10" s="167">
        <f>IF(AND('основные условия'!$K$7=1,F$4&lt;('основные условия'!$E$19+1)),'результат расчета'!F45,"")</f>
        <v>13.720877184484237</v>
      </c>
      <c r="G10" s="167">
        <f>IF(AND('основные условия'!$K$7=1,G$4&lt;('основные условия'!$E$19+1)),'результат расчета'!G45,"")</f>
        <v>14.681338587398136</v>
      </c>
      <c r="H10" s="167">
        <f>IF(AND('основные условия'!$K$7=1,H$4&lt;('основные условия'!$E$19+1)),'результат расчета'!H45,"")</f>
        <v>15.709032288516005</v>
      </c>
      <c r="I10" s="167">
        <f>IF(AND('основные условия'!$K$7=1,I$4&lt;('основные условия'!$E$19+1)),'результат расчета'!I45,"")</f>
        <v>16.80866454871213</v>
      </c>
      <c r="J10" s="167">
        <f>IF(AND('основные условия'!$K$7=1,J$4&lt;('основные условия'!$E$19+1)),'результат расчета'!J45,"")</f>
        <v>17.985271067121978</v>
      </c>
      <c r="K10" s="167">
        <f>IF(AND('основные условия'!$K$7=1,K$4&lt;('основные условия'!$E$19+1)),'результат расчета'!K45,"")</f>
        <v>19.244240041820518</v>
      </c>
      <c r="L10" s="167">
        <f>IF(AND('основные условия'!$K$7=1,L$4&lt;('основные условия'!$E$19+1)),'результат расчета'!L45,"")</f>
        <v>20.591336844747957</v>
      </c>
      <c r="M10" s="167">
        <f>IF(AND('основные условия'!$K$7=1,M$4&lt;('основные условия'!$E$19+1)),'результат расчета'!M45,"")</f>
      </c>
      <c r="N10" s="167">
        <f>IF(AND('основные условия'!$K$7=1,N$4&lt;('основные условия'!$E$19+1)),'результат расчета'!N45,"")</f>
      </c>
      <c r="O10" s="167">
        <f>IF(AND('основные условия'!$K$7=1,O$4&lt;('основные условия'!$E$19+1)),'результат расчета'!O45,"")</f>
      </c>
      <c r="P10" s="167">
        <f>IF(AND('основные условия'!$K$7=1,P$4&lt;('основные условия'!$E$19+1)),'результат расчета'!P45,"")</f>
      </c>
      <c r="Q10" s="167">
        <f>IF(AND('основные условия'!$K$7=1,Q$4&lt;('основные условия'!$E$19+1)),'результат расчета'!Q45,"")</f>
      </c>
      <c r="R10" s="167">
        <f>IF(AND('основные условия'!$K$7=1,R$4&lt;('основные условия'!$E$19+1)),'результат расчета'!R45,"")</f>
      </c>
      <c r="S10" s="167">
        <f>IF(AND('основные условия'!$K$7=1,S$4&lt;('основные условия'!$E$19+1)),'результат расчета'!S45,"")</f>
      </c>
      <c r="T10" s="167">
        <f>IF(AND('основные условия'!$K$7=1,T$4&lt;('основные условия'!$E$19+1)),'результат расчета'!T45,"")</f>
      </c>
      <c r="U10" s="167">
        <f>IF(AND('основные условия'!$K$7=1,U$4&lt;('основные условия'!$E$19+1)),'результат расчета'!U45,"")</f>
      </c>
      <c r="V10" s="167">
        <f>IF(AND('основные условия'!$K$7=1,V$4&lt;('основные условия'!$E$19+1)),'результат расчета'!V45,"")</f>
      </c>
      <c r="W10" s="167">
        <f>IF(AND('основные условия'!$K$7=1,W$4&lt;('основные условия'!$E$19+1)),'результат расчета'!W45,"")</f>
      </c>
      <c r="X10" s="167">
        <f>IF(AND('основные условия'!$K$7=1,X$4&lt;('основные условия'!$E$19+1)),'результат расчета'!X45,"")</f>
      </c>
      <c r="Y10" s="167">
        <f>IF(AND('основные условия'!$K$7=1,Y$4&lt;('основные условия'!$E$19+1)),'результат расчета'!Y45,"")</f>
      </c>
      <c r="Z10" s="167">
        <f>IF(AND('основные условия'!$K$7=1,Z$4&lt;('основные условия'!$E$19+1)),'результат расчета'!Z45,"")</f>
      </c>
      <c r="AA10" s="167">
        <f>IF(AND('основные условия'!$K$7=1,AA$4&lt;('основные условия'!$E$19+1)),'результат расчета'!AA45,"")</f>
      </c>
      <c r="AB10" s="167">
        <f>IF(AND('основные условия'!$K$7=1,AB$4&lt;('основные условия'!$E$19+1)),'результат расчета'!AB45,"")</f>
      </c>
      <c r="AC10" s="167">
        <f>IF(AND('основные условия'!$K$7=1,AC$4&lt;('основные условия'!$E$19+1)),'результат расчета'!AC45,"")</f>
      </c>
      <c r="AD10" s="167">
        <f>IF(AND('основные условия'!$K$7=1,AD$4&lt;('основные условия'!$E$19+1)),'результат расчета'!AD45,"")</f>
      </c>
      <c r="AE10" s="167">
        <f>IF(AND('основные условия'!$K$7=1,AE$4&lt;('основные условия'!$E$19+1)),'результат расчета'!AE45,"")</f>
      </c>
      <c r="AF10" s="167">
        <f>IF(AND('основные условия'!$K$7=1,AF$4&lt;('основные условия'!$E$19+1)),'результат расчета'!AF45,"")</f>
      </c>
    </row>
    <row r="11" spans="1:32" ht="82.5" customHeight="1">
      <c r="A11" s="21" t="s">
        <v>49</v>
      </c>
      <c r="B11" s="150">
        <f>IF(AND('основные условия'!$K$7=1,B$4&lt;('основные условия'!$E$19+1)),'результат расчета'!B46,"")</f>
        <v>0</v>
      </c>
      <c r="C11" s="150">
        <f>IF(AND('основные условия'!$K$7=1,C$4&lt;('основные условия'!$E$19+1)),'результат расчета'!C46,"")</f>
        <v>0</v>
      </c>
      <c r="D11" s="150">
        <f>IF(AND('основные условия'!$K$7=1,D$4&lt;('основные условия'!$E$19+1)),'результат расчета'!D46,"")</f>
        <v>0</v>
      </c>
      <c r="E11" s="150">
        <f>IF(AND('основные условия'!$K$7=1,E$4&lt;('основные условия'!$E$19+1)),'результат расчета'!E46,"")</f>
        <v>0</v>
      </c>
      <c r="F11" s="150">
        <f>IF(AND('основные условия'!$K$7=1,F$4&lt;('основные условия'!$E$19+1)),'результат расчета'!F46,"")</f>
        <v>0</v>
      </c>
      <c r="G11" s="150">
        <f>IF(AND('основные условия'!$K$7=1,G$4&lt;('основные условия'!$E$19+1)),'результат расчета'!G46,"")</f>
        <v>0</v>
      </c>
      <c r="H11" s="150">
        <f>IF(AND('основные условия'!$K$7=1,H$4&lt;('основные условия'!$E$19+1)),'результат расчета'!H46,"")</f>
        <v>0</v>
      </c>
      <c r="I11" s="150">
        <f>IF(AND('основные условия'!$K$7=1,I$4&lt;('основные условия'!$E$19+1)),'результат расчета'!I46,"")</f>
        <v>0</v>
      </c>
      <c r="J11" s="150">
        <f>IF(AND('основные условия'!$K$7=1,J$4&lt;('основные условия'!$E$19+1)),'результат расчета'!J46,"")</f>
        <v>0</v>
      </c>
      <c r="K11" s="150">
        <f>IF(AND('основные условия'!$K$7=1,K$4&lt;('основные условия'!$E$19+1)),'результат расчета'!K46,"")</f>
        <v>0</v>
      </c>
      <c r="L11" s="150">
        <f>IF(AND('основные условия'!$K$7=1,L$4&lt;('основные условия'!$E$19+1)),'результат расчета'!L46,"")</f>
        <v>1874.3896813804506</v>
      </c>
      <c r="M11" s="150">
        <f>IF(AND('основные условия'!$K$7=1,M$4&lt;('основные условия'!$E$19+1)),'результат расчета'!M46,"")</f>
      </c>
      <c r="N11" s="150">
        <f>IF(AND('основные условия'!$K$7=1,N$4&lt;('основные условия'!$E$19+1)),'результат расчета'!N46,"")</f>
      </c>
      <c r="O11" s="150">
        <f>IF(AND('основные условия'!$K$7=1,O$4&lt;('основные условия'!$E$19+1)),'результат расчета'!O46,"")</f>
      </c>
      <c r="P11" s="150">
        <f>IF(AND('основные условия'!$K$7=1,P$4&lt;('основные условия'!$E$19+1)),'результат расчета'!P46,"")</f>
      </c>
      <c r="Q11" s="150">
        <f>IF(AND('основные условия'!$K$7=1,Q$4&lt;('основные условия'!$E$19+1)),'результат расчета'!Q46,"")</f>
      </c>
      <c r="R11" s="150">
        <f>IF(AND('основные условия'!$K$7=1,R$4&lt;('основные условия'!$E$19+1)),'результат расчета'!R46,"")</f>
      </c>
      <c r="S11" s="150">
        <f>IF(AND('основные условия'!$K$7=1,S$4&lt;('основные условия'!$E$19+1)),'результат расчета'!S46,"")</f>
      </c>
      <c r="T11" s="150">
        <f>IF(AND('основные условия'!$K$7=1,T$4&lt;('основные условия'!$E$19+1)),'результат расчета'!T46,"")</f>
      </c>
      <c r="U11" s="150">
        <f>IF(AND('основные условия'!$K$7=1,U$4&lt;('основные условия'!$E$19+1)),'результат расчета'!U46,"")</f>
      </c>
      <c r="V11" s="150">
        <f>IF(AND('основные условия'!$K$7=1,V$4&lt;('основные условия'!$E$19+1)),'результат расчета'!V46,"")</f>
      </c>
      <c r="W11" s="150">
        <f>IF(AND('основные условия'!$K$7=1,W$4&lt;('основные условия'!$E$19+1)),'результат расчета'!W46,"")</f>
      </c>
      <c r="X11" s="150">
        <f>IF(AND('основные условия'!$K$7=1,X$4&lt;('основные условия'!$E$19+1)),'результат расчета'!X46,"")</f>
      </c>
      <c r="Y11" s="150">
        <f>IF(AND('основные условия'!$K$7=1,Y$4&lt;('основные условия'!$E$19+1)),'результат расчета'!Y46,"")</f>
      </c>
      <c r="Z11" s="150">
        <f>IF(AND('основные условия'!$K$7=1,Z$4&lt;('основные условия'!$E$19+1)),'результат расчета'!Z46,"")</f>
      </c>
      <c r="AA11" s="150">
        <f>IF(AND('основные условия'!$K$7=1,AA$4&lt;('основные условия'!$E$19+1)),'результат расчета'!AA46,"")</f>
      </c>
      <c r="AB11" s="150">
        <f>IF(AND('основные условия'!$K$7=1,AB$4&lt;('основные условия'!$E$19+1)),'результат расчета'!AB46,"")</f>
      </c>
      <c r="AC11" s="150">
        <f>IF(AND('основные условия'!$K$7=1,AC$4&lt;('основные условия'!$E$19+1)),'результат расчета'!AC46,"")</f>
      </c>
      <c r="AD11" s="150">
        <f>IF(AND('основные условия'!$K$7=1,AD$4&lt;('основные условия'!$E$19+1)),'результат расчета'!AD46,"")</f>
      </c>
      <c r="AE11" s="150">
        <f>IF(AND('основные условия'!$K$7=1,AE$4&lt;('основные условия'!$E$19+1)),'результат расчета'!AE46,"")</f>
      </c>
      <c r="AF11" s="150">
        <f>IF(AND('основные условия'!$K$7=1,AF$4&lt;('основные условия'!$E$19+1)),'результат расчета'!AF46,"")</f>
      </c>
    </row>
    <row r="12" spans="1:32" ht="20.25" customHeight="1">
      <c r="A12" s="79" t="s">
        <v>44</v>
      </c>
      <c r="B12" s="150">
        <f>IF(AND('основные условия'!$K$7=1,B$4&lt;('основные условия'!$E$19+1)),'результат расчета'!B47,"")</f>
        <v>0</v>
      </c>
      <c r="C12" s="150">
        <f>IF(AND('основные условия'!$K$7=1,C$4&lt;('основные условия'!$E$19+1)),'результат расчета'!C47,"")</f>
        <v>1749.7104991609222</v>
      </c>
      <c r="D12" s="150">
        <f>IF(AND('основные условия'!$K$7=1,D$4&lt;('основные условия'!$E$19+1)),'результат расчета'!D47,"")</f>
        <v>1881.0852074654915</v>
      </c>
      <c r="E12" s="150">
        <f>IF(AND('основные условия'!$K$7=1,E$4&lt;('основные условия'!$E$19+1)),'результат расчета'!E47,"")</f>
        <v>1892.4392123076423</v>
      </c>
      <c r="F12" s="150">
        <f>IF(AND('основные условия'!$K$7=1,F$4&lt;('основные условия'!$E$19+1)),'результат расчета'!F47,"")</f>
        <v>1618.3439632747977</v>
      </c>
      <c r="G12" s="150">
        <f>IF(AND('основные условия'!$K$7=1,G$4&lt;('основные условия'!$E$19+1)),'результат расчета'!G47,"")</f>
        <v>1565.4085634793148</v>
      </c>
      <c r="H12" s="150">
        <f>IF(AND('основные условия'!$K$7=1,H$4&lt;('основные условия'!$E$19+1)),'результат расчета'!H47,"")</f>
        <v>1494.895569367688</v>
      </c>
      <c r="I12" s="150">
        <f>IF(AND('основные условия'!$K$7=1,I$4&lt;('основные условия'!$E$19+1)),'результат расчета'!I47,"")</f>
        <v>1428.0742373469416</v>
      </c>
      <c r="J12" s="150">
        <f>IF(AND('основные условия'!$K$7=1,J$4&lt;('основные условия'!$E$19+1)),'результат расчета'!J47,"")</f>
        <v>1364.6796259032753</v>
      </c>
      <c r="K12" s="150">
        <f>IF(AND('основные условия'!$K$7=1,K$4&lt;('основные условия'!$E$19+1)),'результат расчета'!K47,"")</f>
        <v>1312.0040633829797</v>
      </c>
      <c r="L12" s="150">
        <f>IF(AND('основные условия'!$K$7=1,L$4&lt;('основные условия'!$E$19+1)),'результат расчета'!L47,"")</f>
        <v>2005.4614854137585</v>
      </c>
      <c r="M12" s="150">
        <f>IF(AND('основные условия'!$K$7=1,M$4&lt;('основные условия'!$E$19+1)),'результат расчета'!M47,"")</f>
      </c>
      <c r="N12" s="150">
        <f>IF(AND('основные условия'!$K$7=1,N$4&lt;('основные условия'!$E$19+1)),'результат расчета'!N47,"")</f>
      </c>
      <c r="O12" s="150">
        <f>IF(AND('основные условия'!$K$7=1,O$4&lt;('основные условия'!$E$19+1)),'результат расчета'!O47,"")</f>
      </c>
      <c r="P12" s="150">
        <f>IF(AND('основные условия'!$K$7=1,P$4&lt;('основные условия'!$E$19+1)),'результат расчета'!P47,"")</f>
      </c>
      <c r="Q12" s="150">
        <f>IF(AND('основные условия'!$K$7=1,Q$4&lt;('основные условия'!$E$19+1)),'результат расчета'!Q47,"")</f>
      </c>
      <c r="R12" s="150">
        <f>IF(AND('основные условия'!$K$7=1,R$4&lt;('основные условия'!$E$19+1)),'результат расчета'!R47,"")</f>
      </c>
      <c r="S12" s="150">
        <f>IF(AND('основные условия'!$K$7=1,S$4&lt;('основные условия'!$E$19+1)),'результат расчета'!S47,"")</f>
      </c>
      <c r="T12" s="150">
        <f>IF(AND('основные условия'!$K$7=1,T$4&lt;('основные условия'!$E$19+1)),'результат расчета'!T47,"")</f>
      </c>
      <c r="U12" s="150">
        <f>IF(AND('основные условия'!$K$7=1,U$4&lt;('основные условия'!$E$19+1)),'результат расчета'!U47,"")</f>
      </c>
      <c r="V12" s="150">
        <f>IF(AND('основные условия'!$K$7=1,V$4&lt;('основные условия'!$E$19+1)),'результат расчета'!V47,"")</f>
      </c>
      <c r="W12" s="150">
        <f>IF(AND('основные условия'!$K$7=1,W$4&lt;('основные условия'!$E$19+1)),'результат расчета'!W47,"")</f>
      </c>
      <c r="X12" s="150">
        <f>IF(AND('основные условия'!$K$7=1,X$4&lt;('основные условия'!$E$19+1)),'результат расчета'!X47,"")</f>
      </c>
      <c r="Y12" s="150">
        <f>IF(AND('основные условия'!$K$7=1,Y$4&lt;('основные условия'!$E$19+1)),'результат расчета'!Y47,"")</f>
      </c>
      <c r="Z12" s="150">
        <f>IF(AND('основные условия'!$K$7=1,Z$4&lt;('основные условия'!$E$19+1)),'результат расчета'!Z47,"")</f>
      </c>
      <c r="AA12" s="150">
        <f>IF(AND('основные условия'!$K$7=1,AA$4&lt;('основные условия'!$E$19+1)),'результат расчета'!AA47,"")</f>
      </c>
      <c r="AB12" s="150">
        <f>IF(AND('основные условия'!$K$7=1,AB$4&lt;('основные условия'!$E$19+1)),'результат расчета'!AB47,"")</f>
      </c>
      <c r="AC12" s="150">
        <f>IF(AND('основные условия'!$K$7=1,AC$4&lt;('основные условия'!$E$19+1)),'результат расчета'!AC47,"")</f>
      </c>
      <c r="AD12" s="150">
        <f>IF(AND('основные условия'!$K$7=1,AD$4&lt;('основные условия'!$E$19+1)),'результат расчета'!AD47,"")</f>
      </c>
      <c r="AE12" s="150">
        <f>IF(AND('основные условия'!$K$7=1,AE$4&lt;('основные условия'!$E$19+1)),'результат расчета'!AE47,"")</f>
      </c>
      <c r="AF12" s="150">
        <f>IF(AND('основные условия'!$K$7=1,AF$4&lt;('основные условия'!$E$19+1)),'результат расчета'!AF47,"")</f>
      </c>
    </row>
    <row r="13" spans="1:32" ht="30">
      <c r="A13" s="20" t="s">
        <v>154</v>
      </c>
      <c r="B13" s="163">
        <f ca="1">SUM(OFFSET(C12,0,0,1,'основные условия'!$E$19))</f>
        <v>16312.102427102813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</row>
    <row r="14" spans="1:32" ht="15">
      <c r="A14" s="350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</row>
    <row r="15" spans="1:32" ht="15">
      <c r="A15" s="82" t="s">
        <v>48</v>
      </c>
      <c r="B15" s="150">
        <f>IF(AND('основные условия'!$K$6=1,B$4&lt;('основные условия'!$E$19+1)),'результат расчета'!B49,"")</f>
        <v>500</v>
      </c>
      <c r="C15" s="150">
        <f>IF(AND('основные условия'!$K$6=1,C$4&lt;('основные условия'!$E$19+1)),'результат расчета'!C49,"")</f>
        <v>673.8827777777778</v>
      </c>
      <c r="D15" s="150">
        <f>IF(AND('основные условия'!$K$6=1,D$4&lt;('основные условия'!$E$19+1)),'результат расчета'!D49,"")</f>
        <v>1022.4145246621962</v>
      </c>
      <c r="E15" s="150">
        <f>IF(AND('основные условия'!$K$6=1,E$4&lt;('основные условия'!$E$19+1)),'результат расчета'!E49,"")</f>
        <v>1444.0453993783547</v>
      </c>
      <c r="F15" s="150">
        <f>IF(AND('основные условия'!$K$6=1,F$4&lt;('основные условия'!$E$19+1)),'результат расчета'!F49,"")</f>
        <v>1914.6048083425796</v>
      </c>
      <c r="G15" s="150">
        <f>IF(AND('основные условия'!$K$6=1,G$4&lt;('основные условия'!$E$19+1)),'результат расчета'!G49,"")</f>
        <v>2447.646708269272</v>
      </c>
      <c r="H15" s="150">
        <f>IF(AND('основные условия'!$K$6=1,H$4&lt;('основные условия'!$E$19+1)),'результат расчета'!H49,"")</f>
        <v>3043.586363314943</v>
      </c>
      <c r="I15" s="150">
        <f>IF(AND('основные условия'!$K$6=1,I$4&lt;('основные условия'!$E$19+1)),'результат расчета'!I49,"")</f>
        <v>3705.3162808450015</v>
      </c>
      <c r="J15" s="150">
        <f>IF(AND('основные условия'!$K$6=1,J$4&lt;('основные условия'!$E$19+1)),'результат расчета'!J49,"")</f>
        <v>4435.988800299724</v>
      </c>
      <c r="K15" s="150">
        <f>IF(AND('основные условия'!$K$6=1,K$4&lt;('основные условия'!$E$19+1)),'результат расчета'!K49,"")</f>
        <v>5240.149890315701</v>
      </c>
      <c r="L15" s="150">
        <f>IF(AND('основные условия'!$K$6=1,L$4&lt;('основные условия'!$E$19+1)),'результат расчета'!L49,"")</f>
        <v>24751.961424524183</v>
      </c>
      <c r="M15" s="150">
        <f>IF(AND('основные условия'!$K$6=1,M$4&lt;('основные условия'!$E$19+1)),'результат расчета'!M49,"")</f>
      </c>
      <c r="N15" s="150">
        <f>IF(AND('основные условия'!$K$6=1,N$4&lt;('основные условия'!$E$19+1)),'результат расчета'!N49,"")</f>
      </c>
      <c r="O15" s="150">
        <f>IF(AND('основные условия'!$K$6=1,O$4&lt;('основные условия'!$E$19+1)),'результат расчета'!O49,"")</f>
      </c>
      <c r="P15" s="150">
        <f>IF(AND('основные условия'!$K$6=1,P$4&lt;('основные условия'!$E$19+1)),'результат расчета'!P49,"")</f>
      </c>
      <c r="Q15" s="150">
        <f>IF(AND('основные условия'!$K$6=1,Q$4&lt;('основные условия'!$E$19+1)),'результат расчета'!Q49,"")</f>
      </c>
      <c r="R15" s="150">
        <f>IF(AND('основные условия'!$K$6=1,R$4&lt;('основные условия'!$E$19+1)),'результат расчета'!R49,"")</f>
      </c>
      <c r="S15" s="150">
        <f>IF(AND('основные условия'!$K$6=1,S$4&lt;('основные условия'!$E$19+1)),'результат расчета'!S49,"")</f>
      </c>
      <c r="T15" s="150">
        <f>IF(AND('основные условия'!$K$6=1,T$4&lt;('основные условия'!$E$19+1)),'результат расчета'!T49,"")</f>
      </c>
      <c r="U15" s="150">
        <f>IF(AND('основные условия'!$K$6=1,U$4&lt;('основные условия'!$E$19+1)),'результат расчета'!U49,"")</f>
      </c>
      <c r="V15" s="150">
        <f>IF(AND('основные условия'!$K$6=1,V$4&lt;('основные условия'!$E$19+1)),'результат расчета'!V49,"")</f>
      </c>
      <c r="W15" s="150">
        <f>IF(AND('основные условия'!$K$6=1,W$4&lt;('основные условия'!$E$19+1)),'результат расчета'!W49,"")</f>
      </c>
      <c r="X15" s="150">
        <f>IF(AND('основные условия'!$K$6=1,X$4&lt;('основные условия'!$E$19+1)),'результат расчета'!X49,"")</f>
      </c>
      <c r="Y15" s="150">
        <f>IF(AND('основные условия'!$K$6=1,Y$4&lt;('основные условия'!$E$19+1)),'результат расчета'!Y49,"")</f>
      </c>
      <c r="Z15" s="150">
        <f>IF(AND('основные условия'!$K$6=1,Z$4&lt;('основные условия'!$E$19+1)),'результат расчета'!Z49,"")</f>
      </c>
      <c r="AA15" s="150">
        <f>IF(AND('основные условия'!$K$6=1,AA$4&lt;('основные условия'!$E$19+1)),'результат расчета'!AA49,"")</f>
      </c>
      <c r="AB15" s="150">
        <f>IF(AND('основные условия'!$K$6=1,AB$4&lt;('основные условия'!$E$19+1)),'результат расчета'!AB49,"")</f>
      </c>
      <c r="AC15" s="150">
        <f>IF(AND('основные условия'!$K$6=1,AC$4&lt;('основные условия'!$E$19+1)),'результат расчета'!AC49,"")</f>
      </c>
      <c r="AD15" s="150">
        <f>IF(AND('основные условия'!$K$6=1,AD$4&lt;('основные условия'!$E$19+1)),'результат расчета'!AD49,"")</f>
      </c>
      <c r="AE15" s="150">
        <f>IF(AND('основные условия'!$K$6=1,AE$4&lt;('основные условия'!$E$19+1)),'результат расчета'!AE49,"")</f>
      </c>
      <c r="AF15" s="150">
        <f>IF(AND('основные условия'!$K$6=1,AF$4&lt;('основные условия'!$E$19+1)),'результат расчета'!AF49,"")</f>
      </c>
    </row>
    <row r="16" spans="1:32" ht="15">
      <c r="A16" s="21" t="s">
        <v>47</v>
      </c>
      <c r="B16" s="150">
        <f>IF(AND('основные условия'!$K$6=1,B$4&lt;('основные условия'!$E$19+1)),'результат расчета'!B50,"")</f>
        <v>500</v>
      </c>
      <c r="C16" s="150">
        <f>IF(AND('основные условия'!$K$6=1,C$4&lt;('основные условия'!$E$19+1)),'результат расчета'!C50,"")</f>
        <v>581.4827777777779</v>
      </c>
      <c r="D16" s="150">
        <f>IF(AND('основные условия'!$K$6=1,D$4&lt;('основные условия'!$E$19+1)),'результат расчета'!D50,"")</f>
        <v>936.2596490972222</v>
      </c>
      <c r="E16" s="150">
        <f>IF(AND('основные условия'!$K$6=1,E$4&lt;('основные условия'!$E$19+1)),'результат расчета'!E50,"")</f>
        <v>1357.2221496732293</v>
      </c>
      <c r="F16" s="150">
        <f>IF(AND('основные условия'!$K$6=1,F$4&lt;('основные условия'!$E$19+1)),'результат расчета'!F50,"")</f>
        <v>1826.8839311580955</v>
      </c>
      <c r="G16" s="150">
        <f>IF(AND('основные условия'!$K$6=1,G$4&lt;('основные условия'!$E$19+1)),'результат расчета'!G50,"")</f>
        <v>2358.965369681874</v>
      </c>
      <c r="H16" s="150">
        <f>IF(AND('основные условия'!$K$6=1,H$4&lt;('основные условия'!$E$19+1)),'результат расчета'!H50,"")</f>
        <v>2953.877331026427</v>
      </c>
      <c r="I16" s="150">
        <f>IF(AND('основные условия'!$K$6=1,I$4&lt;('основные условия'!$E$19+1)),'результат расчета'!I50,"")</f>
        <v>3614.5076162962896</v>
      </c>
      <c r="J16" s="150">
        <f>IF(AND('основные условия'!$K$6=1,J$4&lt;('основные условия'!$E$19+1)),'результат расчета'!J50,"")</f>
        <v>4344.003529232602</v>
      </c>
      <c r="K16" s="150">
        <f>IF(AND('основные условия'!$K$6=1,K$4&lt;('основные условия'!$E$19+1)),'результат расчета'!K50,"")</f>
        <v>5146.90565027388</v>
      </c>
      <c r="L16" s="150">
        <f>IF(AND('основные условия'!$K$6=1,L$4&lt;('основные условия'!$E$19+1)),'результат расчета'!L50,"")</f>
        <v>6024.721566127306</v>
      </c>
      <c r="M16" s="150">
        <f>IF(AND('основные условия'!$K$6=1,M$4&lt;('основные условия'!$E$19+1)),'результат расчета'!M50,"")</f>
      </c>
      <c r="N16" s="150">
        <f>IF(AND('основные условия'!$K$6=1,N$4&lt;('основные условия'!$E$19+1)),'результат расчета'!N50,"")</f>
      </c>
      <c r="O16" s="150">
        <f>IF(AND('основные условия'!$K$6=1,O$4&lt;('основные условия'!$E$19+1)),'результат расчета'!O50,"")</f>
      </c>
      <c r="P16" s="150">
        <f>IF(AND('основные условия'!$K$6=1,P$4&lt;('основные условия'!$E$19+1)),'результат расчета'!P50,"")</f>
      </c>
      <c r="Q16" s="150">
        <f>IF(AND('основные условия'!$K$6=1,Q$4&lt;('основные условия'!$E$19+1)),'результат расчета'!Q50,"")</f>
      </c>
      <c r="R16" s="150">
        <f>IF(AND('основные условия'!$K$6=1,R$4&lt;('основные условия'!$E$19+1)),'результат расчета'!R50,"")</f>
      </c>
      <c r="S16" s="150">
        <f>IF(AND('основные условия'!$K$6=1,S$4&lt;('основные условия'!$E$19+1)),'результат расчета'!S50,"")</f>
      </c>
      <c r="T16" s="150">
        <f>IF(AND('основные условия'!$K$6=1,T$4&lt;('основные условия'!$E$19+1)),'результат расчета'!T50,"")</f>
      </c>
      <c r="U16" s="150">
        <f>IF(AND('основные условия'!$K$6=1,U$4&lt;('основные условия'!$E$19+1)),'результат расчета'!U50,"")</f>
      </c>
      <c r="V16" s="150">
        <f>IF(AND('основные условия'!$K$6=1,V$4&lt;('основные условия'!$E$19+1)),'результат расчета'!V50,"")</f>
      </c>
      <c r="W16" s="150">
        <f>IF(AND('основные условия'!$K$6=1,W$4&lt;('основные условия'!$E$19+1)),'результат расчета'!W50,"")</f>
      </c>
      <c r="X16" s="150">
        <f>IF(AND('основные условия'!$K$6=1,X$4&lt;('основные условия'!$E$19+1)),'результат расчета'!X50,"")</f>
      </c>
      <c r="Y16" s="150">
        <f>IF(AND('основные условия'!$K$6=1,Y$4&lt;('основные условия'!$E$19+1)),'результат расчета'!Y50,"")</f>
      </c>
      <c r="Z16" s="150">
        <f>IF(AND('основные условия'!$K$6=1,Z$4&lt;('основные условия'!$E$19+1)),'результат расчета'!Z50,"")</f>
      </c>
      <c r="AA16" s="150">
        <f>IF(AND('основные условия'!$K$6=1,AA$4&lt;('основные условия'!$E$19+1)),'результат расчета'!AA50,"")</f>
      </c>
      <c r="AB16" s="150">
        <f>IF(AND('основные условия'!$K$6=1,AB$4&lt;('основные условия'!$E$19+1)),'результат расчета'!AB50,"")</f>
      </c>
      <c r="AC16" s="150">
        <f>IF(AND('основные условия'!$K$6=1,AC$4&lt;('основные условия'!$E$19+1)),'результат расчета'!AC50,"")</f>
      </c>
      <c r="AD16" s="150">
        <f>IF(AND('основные условия'!$K$6=1,AD$4&lt;('основные условия'!$E$19+1)),'результат расчета'!AD50,"")</f>
      </c>
      <c r="AE16" s="150">
        <f>IF(AND('основные условия'!$K$6=1,AE$4&lt;('основные условия'!$E$19+1)),'результат расчета'!AE50,"")</f>
      </c>
      <c r="AF16" s="150">
        <f>IF(AND('основные условия'!$K$6=1,AF$4&lt;('основные условия'!$E$19+1)),'результат расчета'!AF50,"")</f>
      </c>
    </row>
    <row r="17" spans="1:32" ht="78.75" customHeight="1">
      <c r="A17" s="19" t="s">
        <v>228</v>
      </c>
      <c r="B17" s="150">
        <f>IF(AND('основные условия'!$K$6=1,B$4&lt;('основные условия'!$E$19+1)),'результат расчета'!B51,"")</f>
        <v>0</v>
      </c>
      <c r="C17" s="150">
        <f>IF(AND('основные условия'!$K$6=1,C$4&lt;('основные условия'!$E$19+1)),'результат расчета'!C51,"")</f>
        <v>0</v>
      </c>
      <c r="D17" s="150">
        <f>IF(AND('основные условия'!$K$6=1,D$4&lt;('основные условия'!$E$19+1)),'результат расчета'!D51,"")</f>
        <v>0</v>
      </c>
      <c r="E17" s="150">
        <f>IF(AND('основные условия'!$K$6=1,E$4&lt;('основные условия'!$E$19+1)),'результат расчета'!E51,"")</f>
        <v>0</v>
      </c>
      <c r="F17" s="150">
        <f>IF(AND('основные условия'!$K$6=1,F$4&lt;('основные условия'!$E$19+1)),'результат расчета'!F51,"")</f>
        <v>0</v>
      </c>
      <c r="G17" s="150">
        <f>IF(AND('основные условия'!$K$6=1,G$4&lt;('основные условия'!$E$19+1)),'результат расчета'!G51,"")</f>
        <v>0</v>
      </c>
      <c r="H17" s="150">
        <f>IF(AND('основные условия'!$K$6=1,H$4&lt;('основные условия'!$E$19+1)),'результат расчета'!H51,"")</f>
        <v>0</v>
      </c>
      <c r="I17" s="150">
        <f>IF(AND('основные условия'!$K$6=1,I$4&lt;('основные условия'!$E$19+1)),'результат расчета'!I51,"")</f>
        <v>0</v>
      </c>
      <c r="J17" s="150">
        <f>IF(AND('основные условия'!$K$6=1,J$4&lt;('основные условия'!$E$19+1)),'результат расчета'!J51,"")</f>
        <v>0</v>
      </c>
      <c r="K17" s="150">
        <f>IF(AND('основные условия'!$K$6=1,K$4&lt;('основные условия'!$E$19+1)),'результат расчета'!K51,"")</f>
        <v>0</v>
      </c>
      <c r="L17" s="150">
        <f>IF(AND('основные условия'!$K$6=1,L$4&lt;('основные условия'!$E$19+1)),'результат расчета'!L51,"")</f>
        <v>0</v>
      </c>
      <c r="M17" s="150">
        <f>IF(AND('основные условия'!$K$6=1,M$4&lt;('основные условия'!$E$19+1)),'результат расчета'!M51,"")</f>
      </c>
      <c r="N17" s="150">
        <f>IF(AND('основные условия'!$K$6=1,N$4&lt;('основные условия'!$E$19+1)),'результат расчета'!N51,"")</f>
      </c>
      <c r="O17" s="150">
        <f>IF(AND('основные условия'!$K$6=1,O$4&lt;('основные условия'!$E$19+1)),'результат расчета'!O51,"")</f>
      </c>
      <c r="P17" s="150">
        <f>IF(AND('основные условия'!$K$6=1,P$4&lt;('основные условия'!$E$19+1)),'результат расчета'!P51,"")</f>
      </c>
      <c r="Q17" s="150">
        <f>IF(AND('основные условия'!$K$6=1,Q$4&lt;('основные условия'!$E$19+1)),'результат расчета'!Q51,"")</f>
      </c>
      <c r="R17" s="150">
        <f>IF(AND('основные условия'!$K$6=1,R$4&lt;('основные условия'!$E$19+1)),'результат расчета'!R51,"")</f>
      </c>
      <c r="S17" s="150">
        <f>IF(AND('основные условия'!$K$6=1,S$4&lt;('основные условия'!$E$19+1)),'результат расчета'!S51,"")</f>
      </c>
      <c r="T17" s="150">
        <f>IF(AND('основные условия'!$K$6=1,T$4&lt;('основные условия'!$E$19+1)),'результат расчета'!T51,"")</f>
      </c>
      <c r="U17" s="150">
        <f>IF(AND('основные условия'!$K$6=1,U$4&lt;('основные условия'!$E$19+1)),'результат расчета'!U51,"")</f>
      </c>
      <c r="V17" s="150">
        <f>IF(AND('основные условия'!$K$6=1,V$4&lt;('основные условия'!$E$19+1)),'результат расчета'!V51,"")</f>
      </c>
      <c r="W17" s="150">
        <f>IF(AND('основные условия'!$K$6=1,W$4&lt;('основные условия'!$E$19+1)),'результат расчета'!W51,"")</f>
      </c>
      <c r="X17" s="150">
        <f>IF(AND('основные условия'!$K$6=1,X$4&lt;('основные условия'!$E$19+1)),'результат расчета'!X51,"")</f>
      </c>
      <c r="Y17" s="150">
        <f>IF(AND('основные условия'!$K$6=1,Y$4&lt;('основные условия'!$E$19+1)),'результат расчета'!Y51,"")</f>
      </c>
      <c r="Z17" s="150">
        <f>IF(AND('основные условия'!$K$6=1,Z$4&lt;('основные условия'!$E$19+1)),'результат расчета'!Z51,"")</f>
      </c>
      <c r="AA17" s="150">
        <f>IF(AND('основные условия'!$K$6=1,AA$4&lt;('основные условия'!$E$19+1)),'результат расчета'!AA51,"")</f>
      </c>
      <c r="AB17" s="150">
        <f>IF(AND('основные условия'!$K$6=1,AB$4&lt;('основные условия'!$E$19+1)),'результат расчета'!AB51,"")</f>
      </c>
      <c r="AC17" s="150">
        <f>IF(AND('основные условия'!$K$6=1,AC$4&lt;('основные условия'!$E$19+1)),'результат расчета'!AC51,"")</f>
      </c>
      <c r="AD17" s="150">
        <f>IF(AND('основные условия'!$K$6=1,AD$4&lt;('основные условия'!$E$19+1)),'результат расчета'!AD51,"")</f>
      </c>
      <c r="AE17" s="150">
        <f>IF(AND('основные условия'!$K$6=1,AE$4&lt;('основные условия'!$E$19+1)),'результат расчета'!AE51,"")</f>
      </c>
      <c r="AF17" s="150">
        <f>IF(AND('основные условия'!$K$6=1,AF$4&lt;('основные условия'!$E$19+1)),'результат расчета'!AF51,"")</f>
      </c>
    </row>
    <row r="18" spans="1:32" s="168" customFormat="1" ht="60">
      <c r="A18" s="166" t="s">
        <v>229</v>
      </c>
      <c r="B18" s="167"/>
      <c r="C18" s="167">
        <f>IF(AND('основные условия'!$K$6=1,C$4&lt;('основные условия'!$E$19+1)),'результат расчета'!C52,"")</f>
        <v>81.4</v>
      </c>
      <c r="D18" s="167">
        <f>IF(AND('основные условия'!$K$6=1,D$4&lt;('основные условия'!$E$19+1)),'результат расчета'!D52,"")</f>
        <v>74</v>
      </c>
      <c r="E18" s="167">
        <f>IF(AND('основные условия'!$K$6=1,E$4&lt;('основные условия'!$E$19+1)),'результат расчета'!E52,"")</f>
        <v>74</v>
      </c>
      <c r="F18" s="167">
        <f>IF(AND('основные условия'!$K$6=1,F$4&lt;('основные условия'!$E$19+1)),'результат расчета'!F52,"")</f>
        <v>74</v>
      </c>
      <c r="G18" s="167">
        <f>IF(AND('основные условия'!$K$6=1,G$4&lt;('основные условия'!$E$19+1)),'результат расчета'!G52,"")</f>
        <v>74</v>
      </c>
      <c r="H18" s="167">
        <f>IF(AND('основные условия'!$K$6=1,H$4&lt;('основные условия'!$E$19+1)),'результат расчета'!H52,"")</f>
        <v>74</v>
      </c>
      <c r="I18" s="167">
        <f>IF(AND('основные условия'!$K$6=1,I$4&lt;('основные условия'!$E$19+1)),'результат расчета'!I52,"")</f>
        <v>74</v>
      </c>
      <c r="J18" s="167">
        <f>IF(AND('основные условия'!$K$6=1,J$4&lt;('основные условия'!$E$19+1)),'результат расчета'!J52,"")</f>
        <v>74</v>
      </c>
      <c r="K18" s="167">
        <f>IF(AND('основные условия'!$K$6=1,K$4&lt;('основные условия'!$E$19+1)),'результат расчета'!K52,"")</f>
        <v>74</v>
      </c>
      <c r="L18" s="167">
        <f>IF(AND('основные условия'!$K$6=1,L$4&lt;('основные условия'!$E$19+1)),'результат расчета'!L52,"")</f>
        <v>74</v>
      </c>
      <c r="M18" s="167">
        <f>IF(AND('основные условия'!$K$6=1,M$4&lt;('основные условия'!$E$19+1)),'результат расчета'!M52,"")</f>
      </c>
      <c r="N18" s="167">
        <f>IF(AND('основные условия'!$K$6=1,N$4&lt;('основные условия'!$E$19+1)),'результат расчета'!N52,"")</f>
      </c>
      <c r="O18" s="167">
        <f>IF(AND('основные условия'!$K$6=1,O$4&lt;('основные условия'!$E$19+1)),'результат расчета'!O52,"")</f>
      </c>
      <c r="P18" s="167">
        <f>IF(AND('основные условия'!$K$6=1,P$4&lt;('основные условия'!$E$19+1)),'результат расчета'!P52,"")</f>
      </c>
      <c r="Q18" s="167">
        <f>IF(AND('основные условия'!$K$6=1,Q$4&lt;('основные условия'!$E$19+1)),'результат расчета'!Q52,"")</f>
      </c>
      <c r="R18" s="167">
        <f>IF(AND('основные условия'!$K$6=1,R$4&lt;('основные условия'!$E$19+1)),'результат расчета'!R52,"")</f>
      </c>
      <c r="S18" s="167">
        <f>IF(AND('основные условия'!$K$6=1,S$4&lt;('основные условия'!$E$19+1)),'результат расчета'!S52,"")</f>
      </c>
      <c r="T18" s="167">
        <f>IF(AND('основные условия'!$K$6=1,T$4&lt;('основные условия'!$E$19+1)),'результат расчета'!T52,"")</f>
      </c>
      <c r="U18" s="167">
        <f>IF(AND('основные условия'!$K$6=1,U$4&lt;('основные условия'!$E$19+1)),'результат расчета'!U52,"")</f>
      </c>
      <c r="V18" s="167">
        <f>IF(AND('основные условия'!$K$6=1,V$4&lt;('основные условия'!$E$19+1)),'результат расчета'!V52,"")</f>
      </c>
      <c r="W18" s="167">
        <f>IF(AND('основные условия'!$K$6=1,W$4&lt;('основные условия'!$E$19+1)),'результат расчета'!W52,"")</f>
      </c>
      <c r="X18" s="167">
        <f>IF(AND('основные условия'!$K$6=1,X$4&lt;('основные условия'!$E$19+1)),'результат расчета'!X52,"")</f>
      </c>
      <c r="Y18" s="167">
        <f>IF(AND('основные условия'!$K$6=1,Y$4&lt;('основные условия'!$E$19+1)),'результат расчета'!Y52,"")</f>
      </c>
      <c r="Z18" s="167">
        <f>IF(AND('основные условия'!$K$6=1,Z$4&lt;('основные условия'!$E$19+1)),'результат расчета'!Z52,"")</f>
      </c>
      <c r="AA18" s="167">
        <f>IF(AND('основные условия'!$K$6=1,AA$4&lt;('основные условия'!$E$19+1)),'результат расчета'!AA52,"")</f>
      </c>
      <c r="AB18" s="167">
        <f>IF(AND('основные условия'!$K$6=1,AB$4&lt;('основные условия'!$E$19+1)),'результат расчета'!AB52,"")</f>
      </c>
      <c r="AC18" s="167">
        <f>IF(AND('основные условия'!$K$6=1,AC$4&lt;('основные условия'!$E$19+1)),'результат расчета'!AC52,"")</f>
      </c>
      <c r="AD18" s="167">
        <f>IF(AND('основные условия'!$K$6=1,AD$4&lt;('основные условия'!$E$19+1)),'результат расчета'!AD52,"")</f>
      </c>
      <c r="AE18" s="167">
        <f>IF(AND('основные условия'!$K$6=1,AE$4&lt;('основные условия'!$E$19+1)),'результат расчета'!AE52,"")</f>
      </c>
      <c r="AF18" s="167">
        <f>IF(AND('основные условия'!$K$6=1,AF$4&lt;('основные условия'!$E$19+1)),'результат расчета'!AF52,"")</f>
      </c>
    </row>
    <row r="19" spans="1:32" s="168" customFormat="1" ht="15">
      <c r="A19" s="166" t="s">
        <v>224</v>
      </c>
      <c r="B19" s="167"/>
      <c r="C19" s="167">
        <f>IF(AND('основные условия'!$K$6=1,C$4&lt;('основные условия'!$E$19+1)),'результат расчета'!C53,"")</f>
        <v>11</v>
      </c>
      <c r="D19" s="167">
        <f>IF(AND('основные условия'!$K$6=1,D$4&lt;('основные условия'!$E$19+1)),'результат расчета'!D53,"")</f>
        <v>12.154875564973919</v>
      </c>
      <c r="E19" s="167">
        <f>IF(AND('основные условия'!$K$6=1,E$4&lt;('основные условия'!$E$19+1)),'результат расчета'!E53,"")</f>
        <v>12.823249705125455</v>
      </c>
      <c r="F19" s="167">
        <f>IF(AND('основные условия'!$K$6=1,F$4&lt;('основные условия'!$E$19+1)),'результат расчета'!F53,"")</f>
        <v>13.720877184484237</v>
      </c>
      <c r="G19" s="167">
        <f>IF(AND('основные условия'!$K$6=1,G$4&lt;('основные условия'!$E$19+1)),'результат расчета'!G53,"")</f>
        <v>14.681338587398136</v>
      </c>
      <c r="H19" s="167">
        <f>IF(AND('основные условия'!$K$6=1,H$4&lt;('основные условия'!$E$19+1)),'результат расчета'!H53,"")</f>
        <v>15.709032288516005</v>
      </c>
      <c r="I19" s="167">
        <f>IF(AND('основные условия'!$K$6=1,I$4&lt;('основные условия'!$E$19+1)),'результат расчета'!I53,"")</f>
        <v>16.80866454871213</v>
      </c>
      <c r="J19" s="167">
        <f>IF(AND('основные условия'!$K$6=1,J$4&lt;('основные условия'!$E$19+1)),'результат расчета'!J53,"")</f>
        <v>17.985271067121978</v>
      </c>
      <c r="K19" s="167">
        <f>IF(AND('основные условия'!$K$6=1,K$4&lt;('основные условия'!$E$19+1)),'результат расчета'!K53,"")</f>
        <v>19.244240041820518</v>
      </c>
      <c r="L19" s="167">
        <f>IF(AND('основные условия'!$K$6=1,L$4&lt;('основные условия'!$E$19+1)),'результат расчета'!L53,"")</f>
        <v>20.591336844747957</v>
      </c>
      <c r="M19" s="167">
        <f>IF(AND('основные условия'!$K$6=1,M$4&lt;('основные условия'!$E$19+1)),'результат расчета'!M53,"")</f>
      </c>
      <c r="N19" s="167">
        <f>IF(AND('основные условия'!$K$6=1,N$4&lt;('основные условия'!$E$19+1)),'результат расчета'!N53,"")</f>
      </c>
      <c r="O19" s="167">
        <f>IF(AND('основные условия'!$K$6=1,O$4&lt;('основные условия'!$E$19+1)),'результат расчета'!O53,"")</f>
      </c>
      <c r="P19" s="167">
        <f>IF(AND('основные условия'!$K$6=1,P$4&lt;('основные условия'!$E$19+1)),'результат расчета'!P53,"")</f>
      </c>
      <c r="Q19" s="167">
        <f>IF(AND('основные условия'!$K$6=1,Q$4&lt;('основные условия'!$E$19+1)),'результат расчета'!Q53,"")</f>
      </c>
      <c r="R19" s="167">
        <f>IF(AND('основные условия'!$K$6=1,R$4&lt;('основные условия'!$E$19+1)),'результат расчета'!R53,"")</f>
      </c>
      <c r="S19" s="167">
        <f>IF(AND('основные условия'!$K$6=1,S$4&lt;('основные условия'!$E$19+1)),'результат расчета'!S53,"")</f>
      </c>
      <c r="T19" s="167">
        <f>IF(AND('основные условия'!$K$6=1,T$4&lt;('основные условия'!$E$19+1)),'результат расчета'!T53,"")</f>
      </c>
      <c r="U19" s="167">
        <f>IF(AND('основные условия'!$K$6=1,U$4&lt;('основные условия'!$E$19+1)),'результат расчета'!U53,"")</f>
      </c>
      <c r="V19" s="167">
        <f>IF(AND('основные условия'!$K$6=1,V$4&lt;('основные условия'!$E$19+1)),'результат расчета'!V53,"")</f>
      </c>
      <c r="W19" s="167">
        <f>IF(AND('основные условия'!$K$6=1,W$4&lt;('основные условия'!$E$19+1)),'результат расчета'!W53,"")</f>
      </c>
      <c r="X19" s="167">
        <f>IF(AND('основные условия'!$K$6=1,X$4&lt;('основные условия'!$E$19+1)),'результат расчета'!X53,"")</f>
      </c>
      <c r="Y19" s="167">
        <f>IF(AND('основные условия'!$K$6=1,Y$4&lt;('основные условия'!$E$19+1)),'результат расчета'!Y53,"")</f>
      </c>
      <c r="Z19" s="167">
        <f>IF(AND('основные условия'!$K$6=1,Z$4&lt;('основные условия'!$E$19+1)),'результат расчета'!Z53,"")</f>
      </c>
      <c r="AA19" s="167">
        <f>IF(AND('основные условия'!$K$6=1,AA$4&lt;('основные условия'!$E$19+1)),'результат расчета'!AA53,"")</f>
      </c>
      <c r="AB19" s="167">
        <f>IF(AND('основные условия'!$K$6=1,AB$4&lt;('основные условия'!$E$19+1)),'результат расчета'!AB53,"")</f>
      </c>
      <c r="AC19" s="167">
        <f>IF(AND('основные условия'!$K$6=1,AC$4&lt;('основные условия'!$E$19+1)),'результат расчета'!AC53,"")</f>
      </c>
      <c r="AD19" s="167">
        <f>IF(AND('основные условия'!$K$6=1,AD$4&lt;('основные условия'!$E$19+1)),'результат расчета'!AD53,"")</f>
      </c>
      <c r="AE19" s="167">
        <f>IF(AND('основные условия'!$K$6=1,AE$4&lt;('основные условия'!$E$19+1)),'результат расчета'!AE53,"")</f>
      </c>
      <c r="AF19" s="167">
        <f>IF(AND('основные условия'!$K$6=1,AF$4&lt;('основные условия'!$E$19+1)),'результат расчета'!AF53,"")</f>
      </c>
    </row>
    <row r="20" spans="1:32" ht="82.5" customHeight="1">
      <c r="A20" s="21" t="s">
        <v>49</v>
      </c>
      <c r="B20" s="150">
        <f>IF(AND('основные условия'!$K$6=1,B$4&lt;('основные условия'!$E$19+1)),'результат расчета'!B54,"")</f>
        <v>0</v>
      </c>
      <c r="C20" s="150">
        <f>IF(AND('основные условия'!$K$6=1,C$4&lt;('основные условия'!$E$19+1)),'результат расчета'!C54,"")</f>
        <v>0</v>
      </c>
      <c r="D20" s="150">
        <f>IF(AND('основные условия'!$K$6=1,D$4&lt;('основные условия'!$E$19+1)),'результат расчета'!D54,"")</f>
        <v>0</v>
      </c>
      <c r="E20" s="150">
        <f>IF(AND('основные условия'!$K$6=1,E$4&lt;('основные условия'!$E$19+1)),'результат расчета'!E54,"")</f>
        <v>0</v>
      </c>
      <c r="F20" s="150">
        <f>IF(AND('основные условия'!$K$6=1,F$4&lt;('основные условия'!$E$19+1)),'результат расчета'!F54,"")</f>
        <v>0</v>
      </c>
      <c r="G20" s="150">
        <f>IF(AND('основные условия'!$K$6=1,G$4&lt;('основные условия'!$E$19+1)),'результат расчета'!G54,"")</f>
        <v>0</v>
      </c>
      <c r="H20" s="150">
        <f>IF(AND('основные условия'!$K$6=1,H$4&lt;('основные условия'!$E$19+1)),'результат расчета'!H54,"")</f>
        <v>0</v>
      </c>
      <c r="I20" s="150">
        <f>IF(AND('основные условия'!$K$6=1,I$4&lt;('основные условия'!$E$19+1)),'результат расчета'!I54,"")</f>
        <v>0</v>
      </c>
      <c r="J20" s="150">
        <f>IF(AND('основные условия'!$K$6=1,J$4&lt;('основные условия'!$E$19+1)),'результат расчета'!J54,"")</f>
        <v>0</v>
      </c>
      <c r="K20" s="150">
        <f>IF(AND('основные условия'!$K$6=1,K$4&lt;('основные условия'!$E$19+1)),'результат расчета'!K54,"")</f>
        <v>0</v>
      </c>
      <c r="L20" s="150">
        <f>IF(AND('основные условия'!$K$6=1,L$4&lt;('основные условия'!$E$19+1)),'результат расчета'!L54,"")</f>
        <v>18632.648521552128</v>
      </c>
      <c r="M20" s="150">
        <f>IF(AND('основные условия'!$K$6=1,M$4&lt;('основные условия'!$E$19+1)),'результат расчета'!M54,"")</f>
      </c>
      <c r="N20" s="150">
        <f>IF(AND('основные условия'!$K$6=1,N$4&lt;('основные условия'!$E$19+1)),'результат расчета'!N54,"")</f>
      </c>
      <c r="O20" s="150">
        <f>IF(AND('основные условия'!$K$6=1,O$4&lt;('основные условия'!$E$19+1)),'результат расчета'!O54,"")</f>
      </c>
      <c r="P20" s="150">
        <f>IF(AND('основные условия'!$K$6=1,P$4&lt;('основные условия'!$E$19+1)),'результат расчета'!P54,"")</f>
      </c>
      <c r="Q20" s="150">
        <f>IF(AND('основные условия'!$K$6=1,Q$4&lt;('основные условия'!$E$19+1)),'результат расчета'!Q54,"")</f>
      </c>
      <c r="R20" s="150">
        <f>IF(AND('основные условия'!$K$6=1,R$4&lt;('основные условия'!$E$19+1)),'результат расчета'!R54,"")</f>
      </c>
      <c r="S20" s="150">
        <f>IF(AND('основные условия'!$K$6=1,S$4&lt;('основные условия'!$E$19+1)),'результат расчета'!S54,"")</f>
      </c>
      <c r="T20" s="150">
        <f>IF(AND('основные условия'!$K$6=1,T$4&lt;('основные условия'!$E$19+1)),'результат расчета'!T54,"")</f>
      </c>
      <c r="U20" s="150">
        <f>IF(AND('основные условия'!$K$6=1,U$4&lt;('основные условия'!$E$19+1)),'результат расчета'!U54,"")</f>
      </c>
      <c r="V20" s="150">
        <f>IF(AND('основные условия'!$K$6=1,V$4&lt;('основные условия'!$E$19+1)),'результат расчета'!V54,"")</f>
      </c>
      <c r="W20" s="150">
        <f>IF(AND('основные условия'!$K$6=1,W$4&lt;('основные условия'!$E$19+1)),'результат расчета'!W54,"")</f>
      </c>
      <c r="X20" s="150">
        <f>IF(AND('основные условия'!$K$6=1,X$4&lt;('основные условия'!$E$19+1)),'результат расчета'!X54,"")</f>
      </c>
      <c r="Y20" s="150">
        <f>IF(AND('основные условия'!$K$6=1,Y$4&lt;('основные условия'!$E$19+1)),'результат расчета'!Y54,"")</f>
      </c>
      <c r="Z20" s="150">
        <f>IF(AND('основные условия'!$K$6=1,Z$4&lt;('основные условия'!$E$19+1)),'результат расчета'!Z54,"")</f>
      </c>
      <c r="AA20" s="150">
        <f>IF(AND('основные условия'!$K$6=1,AA$4&lt;('основные условия'!$E$19+1)),'результат расчета'!AA54,"")</f>
      </c>
      <c r="AB20" s="150">
        <f>IF(AND('основные условия'!$K$6=1,AB$4&lt;('основные условия'!$E$19+1)),'результат расчета'!AB54,"")</f>
      </c>
      <c r="AC20" s="150">
        <f>IF(AND('основные условия'!$K$6=1,AC$4&lt;('основные условия'!$E$19+1)),'результат расчета'!AC54,"")</f>
      </c>
      <c r="AD20" s="150">
        <f>IF(AND('основные условия'!$K$6=1,AD$4&lt;('основные условия'!$E$19+1)),'результат расчета'!AD54,"")</f>
      </c>
      <c r="AE20" s="150">
        <f>IF(AND('основные условия'!$K$6=1,AE$4&lt;('основные условия'!$E$19+1)),'результат расчета'!AE54,"")</f>
      </c>
      <c r="AF20" s="150">
        <f>IF(AND('основные условия'!$K$6=1,AF$4&lt;('основные условия'!$E$19+1)),'результат расчета'!AF54,"")</f>
      </c>
    </row>
    <row r="21" spans="1:32" ht="30">
      <c r="A21" s="79" t="s">
        <v>50</v>
      </c>
      <c r="B21" s="150">
        <f>IF(AND('основные условия'!$K$6=1,B$4&lt;('основные условия'!$E$19+1)),'результат расчета'!B55,"")</f>
        <v>0</v>
      </c>
      <c r="C21" s="150">
        <f>IF(AND('основные условия'!$K$6=1,C$4&lt;('основные условия'!$E$19+1)),'результат расчета'!C55,"")</f>
        <v>673.8827777777778</v>
      </c>
      <c r="D21" s="150">
        <f>IF(AND('основные условия'!$K$6=1,D$4&lt;('основные условия'!$E$19+1)),'результат расчета'!D55,"")</f>
        <v>923.5903565150824</v>
      </c>
      <c r="E21" s="150">
        <f>IF(AND('основные условия'!$K$6=1,E$4&lt;('основные условия'!$E$19+1)),'результат расчета'!E55,"")</f>
        <v>1178.380658336948</v>
      </c>
      <c r="F21" s="150">
        <f>IF(AND('основные условия'!$K$6=1,F$4&lt;('основные условия'!$E$19+1)),'результат расчета'!F55,"")</f>
        <v>1411.3550535130553</v>
      </c>
      <c r="G21" s="150">
        <f>IF(AND('основные условия'!$K$6=1,G$4&lt;('основные условия'!$E$19+1)),'результат расчета'!G55,"")</f>
        <v>1629.8898254922585</v>
      </c>
      <c r="H21" s="150">
        <f>IF(AND('основные условия'!$K$6=1,H$4&lt;('основные условия'!$E$19+1)),'результат расчета'!H55,"")</f>
        <v>1830.8279133850203</v>
      </c>
      <c r="I21" s="150">
        <f>IF(AND('основные условия'!$K$6=1,I$4&lt;('основные условия'!$E$19+1)),'результат расчета'!I55,"")</f>
        <v>2013.4440202154744</v>
      </c>
      <c r="J21" s="150">
        <f>IF(AND('основные условия'!$K$6=1,J$4&lt;('основные условия'!$E$19+1)),'результат расчета'!J55,"")</f>
        <v>2177.494641016578</v>
      </c>
      <c r="K21" s="150">
        <f>IF(AND('основные условия'!$K$6=1,K$4&lt;('основные условия'!$E$19+1)),'результат расчета'!K55,"")</f>
        <v>2323.607356523846</v>
      </c>
      <c r="L21" s="150">
        <f>IF(AND('основные условия'!$K$6=1,L$4&lt;('основные условия'!$E$19+1)),'результат расчета'!L55,"")</f>
        <v>9914.73318935449</v>
      </c>
      <c r="M21" s="150">
        <f>IF(AND('основные условия'!$K$6=1,M$4&lt;('основные условия'!$E$19+1)),'результат расчета'!M55,"")</f>
      </c>
      <c r="N21" s="150">
        <f>IF(AND('основные условия'!$K$6=1,N$4&lt;('основные условия'!$E$19+1)),'результат расчета'!N55,"")</f>
      </c>
      <c r="O21" s="150">
        <f>IF(AND('основные условия'!$K$6=1,O$4&lt;('основные условия'!$E$19+1)),'результат расчета'!O55,"")</f>
      </c>
      <c r="P21" s="150">
        <f>IF(AND('основные условия'!$K$6=1,P$4&lt;('основные условия'!$E$19+1)),'результат расчета'!P55,"")</f>
      </c>
      <c r="Q21" s="150">
        <f>IF(AND('основные условия'!$K$6=1,Q$4&lt;('основные условия'!$E$19+1)),'результат расчета'!Q55,"")</f>
      </c>
      <c r="R21" s="150">
        <f>IF(AND('основные условия'!$K$6=1,R$4&lt;('основные условия'!$E$19+1)),'результат расчета'!R55,"")</f>
      </c>
      <c r="S21" s="150">
        <f>IF(AND('основные условия'!$K$6=1,S$4&lt;('основные условия'!$E$19+1)),'результат расчета'!S55,"")</f>
      </c>
      <c r="T21" s="150">
        <f>IF(AND('основные условия'!$K$6=1,T$4&lt;('основные условия'!$E$19+1)),'результат расчета'!T55,"")</f>
      </c>
      <c r="U21" s="150">
        <f>IF(AND('основные условия'!$K$6=1,U$4&lt;('основные условия'!$E$19+1)),'результат расчета'!U55,"")</f>
      </c>
      <c r="V21" s="150">
        <f>IF(AND('основные условия'!$K$6=1,V$4&lt;('основные условия'!$E$19+1)),'результат расчета'!V55,"")</f>
      </c>
      <c r="W21" s="150">
        <f>IF(AND('основные условия'!$K$6=1,W$4&lt;('основные условия'!$E$19+1)),'результат расчета'!W55,"")</f>
      </c>
      <c r="X21" s="150">
        <f>IF(AND('основные условия'!$K$6=1,X$4&lt;('основные условия'!$E$19+1)),'результат расчета'!X55,"")</f>
      </c>
      <c r="Y21" s="150">
        <f>IF(AND('основные условия'!$K$6=1,Y$4&lt;('основные условия'!$E$19+1)),'результат расчета'!Y55,"")</f>
      </c>
      <c r="Z21" s="150">
        <f>IF(AND('основные условия'!$K$6=1,Z$4&lt;('основные условия'!$E$19+1)),'результат расчета'!Z55,"")</f>
      </c>
      <c r="AA21" s="150">
        <f>IF(AND('основные условия'!$K$6=1,AA$4&lt;('основные условия'!$E$19+1)),'результат расчета'!AA55,"")</f>
      </c>
      <c r="AB21" s="150">
        <f>IF(AND('основные условия'!$K$6=1,AB$4&lt;('основные условия'!$E$19+1)),'результат расчета'!AB55,"")</f>
      </c>
      <c r="AC21" s="150">
        <f>IF(AND('основные условия'!$K$6=1,AC$4&lt;('основные условия'!$E$19+1)),'результат расчета'!AC55,"")</f>
      </c>
      <c r="AD21" s="150">
        <f>IF(AND('основные условия'!$K$6=1,AD$4&lt;('основные условия'!$E$19+1)),'результат расчета'!AD55,"")</f>
      </c>
      <c r="AE21" s="150">
        <f>IF(AND('основные условия'!$K$6=1,AE$4&lt;('основные условия'!$E$19+1)),'результат расчета'!AE55,"")</f>
      </c>
      <c r="AF21" s="150">
        <f>IF(AND('основные условия'!$K$6=1,AF$4&lt;('основные условия'!$E$19+1)),'результат расчета'!AF55,"")</f>
      </c>
    </row>
    <row r="22" spans="1:32" ht="30">
      <c r="A22" s="20" t="s">
        <v>154</v>
      </c>
      <c r="B22" s="163">
        <f ca="1">SUM(OFFSET(C21,0,0,1,'основные условия'!$E$19))</f>
        <v>24077.20579213053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</row>
    <row r="23" spans="1:32" ht="15">
      <c r="A23" s="350" t="s">
        <v>87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</row>
    <row r="24" spans="1:32" ht="15">
      <c r="A24" s="82" t="s">
        <v>48</v>
      </c>
      <c r="B24" s="150">
        <f>IF(AND('основные условия'!$K$8=1,B$4&lt;('основные условия'!$E$19+1)),'результат расчета'!B57,"")</f>
        <v>1144.8</v>
      </c>
      <c r="C24" s="150">
        <f>IF(AND('основные условия'!$K$8=1,C$4&lt;('основные условия'!$E$19+1)),'результат расчета'!C57,"")</f>
        <v>1142.65963971331</v>
      </c>
      <c r="D24" s="150">
        <f>IF(AND('основные условия'!$K$8=1,D$4&lt;('основные условия'!$E$19+1)),'результат расчета'!D57,"")</f>
        <v>1222.8894330128264</v>
      </c>
      <c r="E24" s="150">
        <f>IF(AND('основные условия'!$K$8=1,E$4&lt;('основные условия'!$E$19+1)),'результат расчета'!E57,"")</f>
        <v>1342.2550198302552</v>
      </c>
      <c r="F24" s="150">
        <f>IF(AND('основные условия'!$K$8=1,F$4&lt;('основные условия'!$E$19+1)),'результат расчета'!F57,"")</f>
        <v>1493.0502191466846</v>
      </c>
      <c r="G24" s="150">
        <f>IF(AND('основные условия'!$K$8=1,G$4&lt;('основные условия'!$E$19+1)),'результат расчета'!G57,"")</f>
        <v>1543.1150752512433</v>
      </c>
      <c r="H24" s="150">
        <f>IF(AND('основные условия'!$K$8=1,H$4&lt;('основные условия'!$E$19+1)),'результат расчета'!H57,"")</f>
        <v>1656.98571245349</v>
      </c>
      <c r="I24" s="150">
        <f>IF(AND('основные условия'!$K$8=1,I$4&lt;('основные условия'!$E$19+1)),'результат расчета'!I57,"")</f>
        <v>1809.8223104935544</v>
      </c>
      <c r="J24" s="150">
        <f>IF(AND('основные условия'!$K$8=1,J$4&lt;('основные условия'!$E$19+1)),'результат расчета'!J57,"")</f>
        <v>1965.8965372661598</v>
      </c>
      <c r="K24" s="150">
        <f>IF(AND('основные условия'!$K$8=1,K$4&lt;('основные условия'!$E$19+1)),'результат расчета'!K57,"")</f>
        <v>2108.1938192100342</v>
      </c>
      <c r="L24" s="150">
        <f>IF(AND('основные условия'!$K$8=1,L$4&lt;('основные условия'!$E$19+1)),'результат расчета'!L57,"")</f>
        <v>4749.659168831398</v>
      </c>
      <c r="M24" s="150">
        <f>IF(AND('основные условия'!$K$8=1,M$4&lt;('основные условия'!$E$19+1)),'результат расчета'!M57,"")</f>
      </c>
      <c r="N24" s="150">
        <f>IF(AND('основные условия'!$K$8=1,N$4&lt;('основные условия'!$E$19+1)),'результат расчета'!N57,"")</f>
      </c>
      <c r="O24" s="150">
        <f>IF(AND('основные условия'!$K$8=1,O$4&lt;('основные условия'!$E$19+1)),'результат расчета'!O57,"")</f>
      </c>
      <c r="P24" s="150">
        <f>IF(AND('основные условия'!$K$8=1,P$4&lt;('основные условия'!$E$19+1)),'результат расчета'!P57,"")</f>
      </c>
      <c r="Q24" s="150">
        <f>IF(AND('основные условия'!$K$8=1,Q$4&lt;('основные условия'!$E$19+1)),'результат расчета'!Q57,"")</f>
      </c>
      <c r="R24" s="150">
        <f>IF(AND('основные условия'!$K$8=1,R$4&lt;('основные условия'!$E$19+1)),'результат расчета'!R57,"")</f>
      </c>
      <c r="S24" s="150">
        <f>IF(AND('основные условия'!$K$8=1,S$4&lt;('основные условия'!$E$19+1)),'результат расчета'!S57,"")</f>
      </c>
      <c r="T24" s="150">
        <f>IF(AND('основные условия'!$K$8=1,T$4&lt;('основные условия'!$E$19+1)),'результат расчета'!T57,"")</f>
      </c>
      <c r="U24" s="150">
        <f>IF(AND('основные условия'!$K$8=1,U$4&lt;('основные условия'!$E$19+1)),'результат расчета'!U57,"")</f>
      </c>
      <c r="V24" s="150">
        <f>IF(AND('основные условия'!$K$8=1,V$4&lt;('основные условия'!$E$19+1)),'результат расчета'!V57,"")</f>
      </c>
      <c r="W24" s="150">
        <f>IF(AND('основные условия'!$K$8=1,W$4&lt;('основные условия'!$E$19+1)),'результат расчета'!W57,"")</f>
      </c>
      <c r="X24" s="150">
        <f>IF(AND('основные условия'!$K$8=1,X$4&lt;('основные условия'!$E$19+1)),'результат расчета'!X57,"")</f>
      </c>
      <c r="Y24" s="150">
        <f>IF(AND('основные условия'!$K$8=1,Y$4&lt;('основные условия'!$E$19+1)),'результат расчета'!Y57,"")</f>
      </c>
      <c r="Z24" s="150">
        <f>IF(AND('основные условия'!$K$8=1,Z$4&lt;('основные условия'!$E$19+1)),'результат расчета'!Z57,"")</f>
      </c>
      <c r="AA24" s="150">
        <f>IF(AND('основные условия'!$K$8=1,AA$4&lt;('основные условия'!$E$19+1)),'результат расчета'!AA57,"")</f>
      </c>
      <c r="AB24" s="150">
        <f>IF(AND('основные условия'!$K$8=1,AB$4&lt;('основные условия'!$E$19+1)),'результат расчета'!AB57,"")</f>
      </c>
      <c r="AC24" s="150">
        <f>IF(AND('основные условия'!$K$8=1,AC$4&lt;('основные условия'!$E$19+1)),'результат расчета'!AC57,"")</f>
      </c>
      <c r="AD24" s="150">
        <f>IF(AND('основные условия'!$K$8=1,AD$4&lt;('основные условия'!$E$19+1)),'результат расчета'!AD57,"")</f>
      </c>
      <c r="AE24" s="150">
        <f>IF(AND('основные условия'!$K$8=1,AE$4&lt;('основные условия'!$E$19+1)),'результат расчета'!AE57,"")</f>
      </c>
      <c r="AF24" s="150">
        <f>IF(AND('основные условия'!$K$8=1,AF$4&lt;('основные условия'!$E$19+1)),'результат расчета'!AF57,"")</f>
      </c>
    </row>
    <row r="25" spans="1:32" ht="15">
      <c r="A25" s="21" t="s">
        <v>47</v>
      </c>
      <c r="B25" s="150">
        <f>IF(AND('основные условия'!$K$8=1,B$4&lt;('основные условия'!$E$19+1)),'результат расчета'!B58,"")</f>
        <v>1144.8</v>
      </c>
      <c r="C25" s="150">
        <f>IF(AND('основные условия'!$K$8=1,C$4&lt;('основные условия'!$E$19+1)),'результат расчета'!C58,"")</f>
        <v>1126.70963971331</v>
      </c>
      <c r="D25" s="150">
        <f>IF(AND('основные условия'!$K$8=1,D$4&lt;('основные условия'!$E$19+1)),'результат расчета'!D58,"")</f>
        <v>1205.2949330128265</v>
      </c>
      <c r="E25" s="150">
        <f>IF(AND('основные условия'!$K$8=1,E$4&lt;('основные условия'!$E$19+1)),'результат расчета'!E58,"")</f>
        <v>1323.6597948302551</v>
      </c>
      <c r="F25" s="150">
        <f>IF(AND('основные условия'!$K$8=1,F$4&lt;('основные условия'!$E$19+1)),'результат расчета'!F58,"")</f>
        <v>1473.1533283966846</v>
      </c>
      <c r="G25" s="150">
        <f>IF(AND('основные условия'!$K$8=1,G$4&lt;('основные условия'!$E$19+1)),'результат расчета'!G58,"")</f>
        <v>1521.8254021487433</v>
      </c>
      <c r="H25" s="150">
        <f>IF(AND('основные условия'!$K$8=1,H$4&lt;('основные условия'!$E$19+1)),'результат расчета'!H58,"")</f>
        <v>1634.205762233815</v>
      </c>
      <c r="I25" s="150">
        <f>IF(AND('основные условия'!$K$8=1,I$4&lt;('основные условия'!$E$19+1)),'результат расчета'!I58,"")</f>
        <v>1785.447763758502</v>
      </c>
      <c r="J25" s="150">
        <f>IF(AND('основные условия'!$K$8=1,J$4&lt;('основные условия'!$E$19+1)),'результат расчета'!J58,"")</f>
        <v>1939.8157722596538</v>
      </c>
      <c r="K25" s="150">
        <f>IF(AND('основные условия'!$K$8=1,K$4&lt;('основные условия'!$E$19+1)),'результат расчета'!K58,"")</f>
        <v>2080.287400653073</v>
      </c>
      <c r="L25" s="150">
        <f>IF(AND('основные условия'!$K$8=1,L$4&lt;('основные условия'!$E$19+1)),'результат расчета'!L58,"")</f>
        <v>2140.26596884249</v>
      </c>
      <c r="M25" s="150">
        <f>IF(AND('основные условия'!$K$8=1,M$4&lt;('основные условия'!$E$19+1)),'результат расчета'!M58,"")</f>
      </c>
      <c r="N25" s="150">
        <f>IF(AND('основные условия'!$K$8=1,N$4&lt;('основные условия'!$E$19+1)),'результат расчета'!N58,"")</f>
      </c>
      <c r="O25" s="150">
        <f>IF(AND('основные условия'!$K$8=1,O$4&lt;('основные условия'!$E$19+1)),'результат расчета'!O58,"")</f>
      </c>
      <c r="P25" s="150">
        <f>IF(AND('основные условия'!$K$8=1,P$4&lt;('основные условия'!$E$19+1)),'результат расчета'!P58,"")</f>
      </c>
      <c r="Q25" s="150">
        <f>IF(AND('основные условия'!$K$8=1,Q$4&lt;('основные условия'!$E$19+1)),'результат расчета'!Q58,"")</f>
      </c>
      <c r="R25" s="150">
        <f>IF(AND('основные условия'!$K$8=1,R$4&lt;('основные условия'!$E$19+1)),'результат расчета'!R58,"")</f>
      </c>
      <c r="S25" s="150">
        <f>IF(AND('основные условия'!$K$8=1,S$4&lt;('основные условия'!$E$19+1)),'результат расчета'!S58,"")</f>
      </c>
      <c r="T25" s="150">
        <f>IF(AND('основные условия'!$K$8=1,T$4&lt;('основные условия'!$E$19+1)),'результат расчета'!T58,"")</f>
      </c>
      <c r="U25" s="150">
        <f>IF(AND('основные условия'!$K$8=1,U$4&lt;('основные условия'!$E$19+1)),'результат расчета'!U58,"")</f>
      </c>
      <c r="V25" s="150">
        <f>IF(AND('основные условия'!$K$8=1,V$4&lt;('основные условия'!$E$19+1)),'результат расчета'!V58,"")</f>
      </c>
      <c r="W25" s="150">
        <f>IF(AND('основные условия'!$K$8=1,W$4&lt;('основные условия'!$E$19+1)),'результат расчета'!W58,"")</f>
      </c>
      <c r="X25" s="150">
        <f>IF(AND('основные условия'!$K$8=1,X$4&lt;('основные условия'!$E$19+1)),'результат расчета'!X58,"")</f>
      </c>
      <c r="Y25" s="150">
        <f>IF(AND('основные условия'!$K$8=1,Y$4&lt;('основные условия'!$E$19+1)),'результат расчета'!Y58,"")</f>
      </c>
      <c r="Z25" s="150">
        <f>IF(AND('основные условия'!$K$8=1,Z$4&lt;('основные условия'!$E$19+1)),'результат расчета'!Z58,"")</f>
      </c>
      <c r="AA25" s="150">
        <f>IF(AND('основные условия'!$K$8=1,AA$4&lt;('основные условия'!$E$19+1)),'результат расчета'!AA58,"")</f>
      </c>
      <c r="AB25" s="150">
        <f>IF(AND('основные условия'!$K$8=1,AB$4&lt;('основные условия'!$E$19+1)),'результат расчета'!AB58,"")</f>
      </c>
      <c r="AC25" s="150">
        <f>IF(AND('основные условия'!$K$8=1,AC$4&lt;('основные условия'!$E$19+1)),'результат расчета'!AC58,"")</f>
      </c>
      <c r="AD25" s="150">
        <f>IF(AND('основные условия'!$K$8=1,AD$4&lt;('основные условия'!$E$19+1)),'результат расчета'!AD58,"")</f>
      </c>
      <c r="AE25" s="150">
        <f>IF(AND('основные условия'!$K$8=1,AE$4&lt;('основные условия'!$E$19+1)),'результат расчета'!AE58,"")</f>
      </c>
      <c r="AF25" s="150">
        <f>IF(AND('основные условия'!$K$8=1,AF$4&lt;('основные условия'!$E$19+1)),'результат расчета'!AF58,"")</f>
      </c>
    </row>
    <row r="26" spans="1:32" ht="81.75" customHeight="1">
      <c r="A26" s="19" t="s">
        <v>228</v>
      </c>
      <c r="B26" s="150">
        <f>IF(AND('основные условия'!$K$8=1,B$4&lt;('основные условия'!$E$19+1)),'результат расчета'!B59,"")</f>
        <v>0</v>
      </c>
      <c r="C26" s="150">
        <f>IF(AND('основные условия'!$K$8=1,C$4&lt;('основные условия'!$E$19+1)),'результат расчета'!C59,"")</f>
        <v>11</v>
      </c>
      <c r="D26" s="150">
        <f>IF(AND('основные условия'!$K$8=1,D$4&lt;('основные условия'!$E$19+1)),'результат расчета'!D59,"")</f>
        <v>12.100000000000001</v>
      </c>
      <c r="E26" s="150">
        <f>IF(AND('основные условия'!$K$8=1,E$4&lt;('основные условия'!$E$19+1)),'результат расчета'!E59,"")</f>
        <v>12.826000000000002</v>
      </c>
      <c r="F26" s="150">
        <f>IF(AND('основные условия'!$K$8=1,F$4&lt;('основные условия'!$E$19+1)),'результат расчета'!F59,"")</f>
        <v>13.723820000000002</v>
      </c>
      <c r="G26" s="150">
        <f>IF(AND('основные условия'!$K$8=1,G$4&lt;('основные условия'!$E$19+1)),'результат расчета'!G59,"")</f>
        <v>14.684487400000004</v>
      </c>
      <c r="H26" s="150">
        <f>IF(AND('основные условия'!$K$8=1,H$4&lt;('основные условия'!$E$19+1)),'результат расчета'!H59,"")</f>
        <v>15.712401518000005</v>
      </c>
      <c r="I26" s="150">
        <f>IF(AND('основные условия'!$K$8=1,I$4&lt;('основные условия'!$E$19+1)),'результат расчета'!I59,"")</f>
        <v>16.812269624260008</v>
      </c>
      <c r="J26" s="150">
        <f>IF(AND('основные условия'!$K$8=1,J$4&lt;('основные условия'!$E$19+1)),'результат расчета'!J59,"")</f>
        <v>17.98912849795821</v>
      </c>
      <c r="K26" s="150">
        <f>IF(AND('основные условия'!$K$8=1,K$4&lt;('основные условия'!$E$19+1)),'результат расчета'!K59,"")</f>
        <v>19.248367492815284</v>
      </c>
      <c r="L26" s="150">
        <f>IF(AND('основные условия'!$K$8=1,L$4&lt;('основные условия'!$E$19+1)),'результат расчета'!L59,"")</f>
        <v>20.595753217312357</v>
      </c>
      <c r="M26" s="150">
        <f>IF(AND('основные условия'!$K$8=1,M$4&lt;('основные условия'!$E$19+1)),'результат расчета'!M59,"")</f>
      </c>
      <c r="N26" s="150">
        <f>IF(AND('основные условия'!$K$8=1,N$4&lt;('основные условия'!$E$19+1)),'результат расчета'!N59,"")</f>
      </c>
      <c r="O26" s="150">
        <f>IF(AND('основные условия'!$K$8=1,O$4&lt;('основные условия'!$E$19+1)),'результат расчета'!O59,"")</f>
      </c>
      <c r="P26" s="150">
        <f>IF(AND('основные условия'!$K$8=1,P$4&lt;('основные условия'!$E$19+1)),'результат расчета'!P59,"")</f>
      </c>
      <c r="Q26" s="150">
        <f>IF(AND('основные условия'!$K$8=1,Q$4&lt;('основные условия'!$E$19+1)),'результат расчета'!Q59,"")</f>
      </c>
      <c r="R26" s="150">
        <f>IF(AND('основные условия'!$K$8=1,R$4&lt;('основные условия'!$E$19+1)),'результат расчета'!R59,"")</f>
      </c>
      <c r="S26" s="150">
        <f>IF(AND('основные условия'!$K$8=1,S$4&lt;('основные условия'!$E$19+1)),'результат расчета'!S59,"")</f>
      </c>
      <c r="T26" s="150">
        <f>IF(AND('основные условия'!$K$8=1,T$4&lt;('основные условия'!$E$19+1)),'результат расчета'!T59,"")</f>
      </c>
      <c r="U26" s="150">
        <f>IF(AND('основные условия'!$K$8=1,U$4&lt;('основные условия'!$E$19+1)),'результат расчета'!U59,"")</f>
      </c>
      <c r="V26" s="150">
        <f>IF(AND('основные условия'!$K$8=1,V$4&lt;('основные условия'!$E$19+1)),'результат расчета'!V59,"")</f>
      </c>
      <c r="W26" s="150">
        <f>IF(AND('основные условия'!$K$8=1,W$4&lt;('основные условия'!$E$19+1)),'результат расчета'!W59,"")</f>
      </c>
      <c r="X26" s="150">
        <f>IF(AND('основные условия'!$K$8=1,X$4&lt;('основные условия'!$E$19+1)),'результат расчета'!X59,"")</f>
      </c>
      <c r="Y26" s="150">
        <f>IF(AND('основные условия'!$K$8=1,Y$4&lt;('основные условия'!$E$19+1)),'результат расчета'!Y59,"")</f>
      </c>
      <c r="Z26" s="150">
        <f>IF(AND('основные условия'!$K$8=1,Z$4&lt;('основные условия'!$E$19+1)),'результат расчета'!Z59,"")</f>
      </c>
      <c r="AA26" s="150">
        <f>IF(AND('основные условия'!$K$8=1,AA$4&lt;('основные условия'!$E$19+1)),'результат расчета'!AA59,"")</f>
      </c>
      <c r="AB26" s="150">
        <f>IF(AND('основные условия'!$K$8=1,AB$4&lt;('основные условия'!$E$19+1)),'результат расчета'!AB59,"")</f>
      </c>
      <c r="AC26" s="150">
        <f>IF(AND('основные условия'!$K$8=1,AC$4&lt;('основные условия'!$E$19+1)),'результат расчета'!AC59,"")</f>
      </c>
      <c r="AD26" s="150">
        <f>IF(AND('основные условия'!$K$8=1,AD$4&lt;('основные условия'!$E$19+1)),'результат расчета'!AD59,"")</f>
      </c>
      <c r="AE26" s="150">
        <f>IF(AND('основные условия'!$K$8=1,AE$4&lt;('основные условия'!$E$19+1)),'результат расчета'!AE59,"")</f>
      </c>
      <c r="AF26" s="150">
        <f>IF(AND('основные условия'!$K$8=1,AF$4&lt;('основные условия'!$E$19+1)),'результат расчета'!AF59,"")</f>
      </c>
    </row>
    <row r="27" spans="1:32" s="168" customFormat="1" ht="60">
      <c r="A27" s="166" t="s">
        <v>229</v>
      </c>
      <c r="B27" s="167"/>
      <c r="C27" s="167">
        <f>IF(AND('основные условия'!$K$8=1,C$4&lt;('основные условия'!$E$19+1)),'результат расчета'!C60,"")</f>
        <v>4.95</v>
      </c>
      <c r="D27" s="167">
        <f>IF(AND('основные условия'!$K$8=1,D$4&lt;('основные условия'!$E$19+1)),'результат расчета'!D60,"")</f>
        <v>5.494500000000001</v>
      </c>
      <c r="E27" s="167">
        <f>IF(AND('основные условия'!$K$8=1,E$4&lt;('основные условия'!$E$19+1)),'результат расчета'!E60,"")</f>
        <v>5.769225000000001</v>
      </c>
      <c r="F27" s="167">
        <f>IF(AND('основные условия'!$K$8=1,F$4&lt;('основные условия'!$E$19+1)),'результат расчета'!F60,"")</f>
        <v>6.173070750000003</v>
      </c>
      <c r="G27" s="167">
        <f>IF(AND('основные условия'!$K$8=1,G$4&lt;('основные условия'!$E$19+1)),'результат расчета'!G60,"")</f>
        <v>6.605185702500003</v>
      </c>
      <c r="H27" s="167">
        <f>IF(AND('основные условия'!$K$8=1,H$4&lt;('основные условия'!$E$19+1)),'результат расчета'!H60,"")</f>
        <v>7.067548701675004</v>
      </c>
      <c r="I27" s="167">
        <f>IF(AND('основные условия'!$K$8=1,I$4&lt;('основные условия'!$E$19+1)),'результат расчета'!I60,"")</f>
        <v>7.562277110792254</v>
      </c>
      <c r="J27" s="167">
        <f>IF(AND('основные условия'!$K$8=1,J$4&lt;('основные условия'!$E$19+1)),'результат расчета'!J60,"")</f>
        <v>8.091636508547714</v>
      </c>
      <c r="K27" s="167">
        <f>IF(AND('основные условия'!$K$8=1,K$4&lt;('основные условия'!$E$19+1)),'результат расчета'!K60,"")</f>
        <v>8.658051064146054</v>
      </c>
      <c r="L27" s="167">
        <f>IF(AND('основные условия'!$K$8=1,L$4&lt;('основные условия'!$E$19+1)),'результат расчета'!L60,"")</f>
        <v>9.264114638636277</v>
      </c>
      <c r="M27" s="167">
        <f>IF(AND('основные условия'!$K$8=1,M$4&lt;('основные условия'!$E$19+1)),'результат расчета'!M60,"")</f>
      </c>
      <c r="N27" s="167">
        <f>IF(AND('основные условия'!$K$8=1,N$4&lt;('основные условия'!$E$19+1)),'результат расчета'!N60,"")</f>
      </c>
      <c r="O27" s="167">
        <f>IF(AND('основные условия'!$K$8=1,O$4&lt;('основные условия'!$E$19+1)),'результат расчета'!O60,"")</f>
      </c>
      <c r="P27" s="167">
        <f>IF(AND('основные условия'!$K$8=1,P$4&lt;('основные условия'!$E$19+1)),'результат расчета'!P60,"")</f>
      </c>
      <c r="Q27" s="167">
        <f>IF(AND('основные условия'!$K$8=1,Q$4&lt;('основные условия'!$E$19+1)),'результат расчета'!Q60,"")</f>
      </c>
      <c r="R27" s="167">
        <f>IF(AND('основные условия'!$K$8=1,R$4&lt;('основные условия'!$E$19+1)),'результат расчета'!R60,"")</f>
      </c>
      <c r="S27" s="167">
        <f>IF(AND('основные условия'!$K$8=1,S$4&lt;('основные условия'!$E$19+1)),'результат расчета'!S60,"")</f>
      </c>
      <c r="T27" s="167">
        <f>IF(AND('основные условия'!$K$8=1,T$4&lt;('основные условия'!$E$19+1)),'результат расчета'!T60,"")</f>
      </c>
      <c r="U27" s="167">
        <f>IF(AND('основные условия'!$K$8=1,U$4&lt;('основные условия'!$E$19+1)),'результат расчета'!U60,"")</f>
      </c>
      <c r="V27" s="167">
        <f>IF(AND('основные условия'!$K$8=1,V$4&lt;('основные условия'!$E$19+1)),'результат расчета'!V60,"")</f>
      </c>
      <c r="W27" s="167">
        <f>IF(AND('основные условия'!$K$8=1,W$4&lt;('основные условия'!$E$19+1)),'результат расчета'!W60,"")</f>
      </c>
      <c r="X27" s="167">
        <f>IF(AND('основные условия'!$K$8=1,X$4&lt;('основные условия'!$E$19+1)),'результат расчета'!X60,"")</f>
      </c>
      <c r="Y27" s="167">
        <f>IF(AND('основные условия'!$K$8=1,Y$4&lt;('основные условия'!$E$19+1)),'результат расчета'!Y60,"")</f>
      </c>
      <c r="Z27" s="167">
        <f>IF(AND('основные условия'!$K$8=1,Z$4&lt;('основные условия'!$E$19+1)),'результат расчета'!Z60,"")</f>
      </c>
      <c r="AA27" s="167">
        <f>IF(AND('основные условия'!$K$8=1,AA$4&lt;('основные условия'!$E$19+1)),'результат расчета'!AA60,"")</f>
      </c>
      <c r="AB27" s="167">
        <f>IF(AND('основные условия'!$K$8=1,AB$4&lt;('основные условия'!$E$19+1)),'результат расчета'!AB60,"")</f>
      </c>
      <c r="AC27" s="167">
        <f>IF(AND('основные условия'!$K$8=1,AC$4&lt;('основные условия'!$E$19+1)),'результат расчета'!AC60,"")</f>
      </c>
      <c r="AD27" s="167">
        <f>IF(AND('основные условия'!$K$8=1,AD$4&lt;('основные условия'!$E$19+1)),'результат расчета'!AD60,"")</f>
      </c>
      <c r="AE27" s="167">
        <f>IF(AND('основные условия'!$K$8=1,AE$4&lt;('основные условия'!$E$19+1)),'результат расчета'!AE60,"")</f>
      </c>
      <c r="AF27" s="167">
        <f>IF(AND('основные условия'!$K$8=1,AF$4&lt;('основные условия'!$E$19+1)),'результат расчета'!AF60,"")</f>
      </c>
    </row>
    <row r="28" spans="1:32" s="168" customFormat="1" ht="15">
      <c r="A28" s="166" t="s">
        <v>224</v>
      </c>
      <c r="B28" s="167"/>
      <c r="C28" s="167">
        <f>IF(AND('основные условия'!$K$8=1,C$4&lt;('основные условия'!$E$19+1)),'результат расчета'!C61,"")</f>
        <v>0</v>
      </c>
      <c r="D28" s="167">
        <f>IF(AND('основные условия'!$K$8=1,D$4&lt;('основные условия'!$E$19+1)),'результат расчета'!D61,"")</f>
        <v>0</v>
      </c>
      <c r="E28" s="167">
        <f>IF(AND('основные условия'!$K$8=1,E$4&lt;('основные условия'!$E$19+1)),'результат расчета'!E61,"")</f>
        <v>0</v>
      </c>
      <c r="F28" s="167">
        <f>IF(AND('основные условия'!$K$8=1,F$4&lt;('основные условия'!$E$19+1)),'результат расчета'!F61,"")</f>
        <v>0</v>
      </c>
      <c r="G28" s="167">
        <f>IF(AND('основные условия'!$K$8=1,G$4&lt;('основные условия'!$E$19+1)),'результат расчета'!G61,"")</f>
        <v>0</v>
      </c>
      <c r="H28" s="167">
        <f>IF(AND('основные условия'!$K$8=1,H$4&lt;('основные условия'!$E$19+1)),'результат расчета'!H61,"")</f>
        <v>0</v>
      </c>
      <c r="I28" s="167">
        <f>IF(AND('основные условия'!$K$8=1,I$4&lt;('основные условия'!$E$19+1)),'результат расчета'!I61,"")</f>
        <v>0</v>
      </c>
      <c r="J28" s="167">
        <f>IF(AND('основные условия'!$K$8=1,J$4&lt;('основные условия'!$E$19+1)),'результат расчета'!J61,"")</f>
        <v>0</v>
      </c>
      <c r="K28" s="167">
        <f>IF(AND('основные условия'!$K$8=1,K$4&lt;('основные условия'!$E$19+1)),'результат расчета'!K61,"")</f>
        <v>0</v>
      </c>
      <c r="L28" s="167">
        <f>IF(AND('основные условия'!$K$8=1,L$4&lt;('основные условия'!$E$19+1)),'результат расчета'!L61,"")</f>
        <v>0</v>
      </c>
      <c r="M28" s="167">
        <f>IF(AND('основные условия'!$K$8=1,M$4&lt;('основные условия'!$E$19+1)),'результат расчета'!M61,"")</f>
      </c>
      <c r="N28" s="167">
        <f>IF(AND('основные условия'!$K$8=1,N$4&lt;('основные условия'!$E$19+1)),'результат расчета'!N61,"")</f>
      </c>
      <c r="O28" s="167">
        <f>IF(AND('основные условия'!$K$8=1,O$4&lt;('основные условия'!$E$19+1)),'результат расчета'!O61,"")</f>
      </c>
      <c r="P28" s="167">
        <f>IF(AND('основные условия'!$K$8=1,P$4&lt;('основные условия'!$E$19+1)),'результат расчета'!P61,"")</f>
      </c>
      <c r="Q28" s="167">
        <f>IF(AND('основные условия'!$K$8=1,Q$4&lt;('основные условия'!$E$19+1)),'результат расчета'!Q61,"")</f>
      </c>
      <c r="R28" s="167">
        <f>IF(AND('основные условия'!$K$8=1,R$4&lt;('основные условия'!$E$19+1)),'результат расчета'!R61,"")</f>
      </c>
      <c r="S28" s="167">
        <f>IF(AND('основные условия'!$K$8=1,S$4&lt;('основные условия'!$E$19+1)),'результат расчета'!S61,"")</f>
      </c>
      <c r="T28" s="167">
        <f>IF(AND('основные условия'!$K$8=1,T$4&lt;('основные условия'!$E$19+1)),'результат расчета'!T61,"")</f>
      </c>
      <c r="U28" s="167">
        <f>IF(AND('основные условия'!$K$8=1,U$4&lt;('основные условия'!$E$19+1)),'результат расчета'!U61,"")</f>
      </c>
      <c r="V28" s="167">
        <f>IF(AND('основные условия'!$K$8=1,V$4&lt;('основные условия'!$E$19+1)),'результат расчета'!V61,"")</f>
      </c>
      <c r="W28" s="167">
        <f>IF(AND('основные условия'!$K$8=1,W$4&lt;('основные условия'!$E$19+1)),'результат расчета'!W61,"")</f>
      </c>
      <c r="X28" s="167">
        <f>IF(AND('основные условия'!$K$8=1,X$4&lt;('основные условия'!$E$19+1)),'результат расчета'!X61,"")</f>
      </c>
      <c r="Y28" s="167">
        <f>IF(AND('основные условия'!$K$8=1,Y$4&lt;('основные условия'!$E$19+1)),'результат расчета'!Y61,"")</f>
      </c>
      <c r="Z28" s="167">
        <f>IF(AND('основные условия'!$K$8=1,Z$4&lt;('основные условия'!$E$19+1)),'результат расчета'!Z61,"")</f>
      </c>
      <c r="AA28" s="167">
        <f>IF(AND('основные условия'!$K$8=1,AA$4&lt;('основные условия'!$E$19+1)),'результат расчета'!AA61,"")</f>
      </c>
      <c r="AB28" s="167">
        <f>IF(AND('основные условия'!$K$8=1,AB$4&lt;('основные условия'!$E$19+1)),'результат расчета'!AB61,"")</f>
      </c>
      <c r="AC28" s="167">
        <f>IF(AND('основные условия'!$K$8=1,AC$4&lt;('основные условия'!$E$19+1)),'результат расчета'!AC61,"")</f>
      </c>
      <c r="AD28" s="167">
        <f>IF(AND('основные условия'!$K$8=1,AD$4&lt;('основные условия'!$E$19+1)),'результат расчета'!AD61,"")</f>
      </c>
      <c r="AE28" s="167">
        <f>IF(AND('основные условия'!$K$8=1,AE$4&lt;('основные условия'!$E$19+1)),'результат расчета'!AE61,"")</f>
      </c>
      <c r="AF28" s="167">
        <f>IF(AND('основные условия'!$K$8=1,AF$4&lt;('основные условия'!$E$19+1)),'результат расчета'!AF61,"")</f>
      </c>
    </row>
    <row r="29" spans="1:32" ht="82.5" customHeight="1">
      <c r="A29" s="21" t="s">
        <v>49</v>
      </c>
      <c r="B29" s="150">
        <f>IF(AND('основные условия'!$K$8=1,B$4&lt;('основные условия'!$E$19+1)),'результат расчета'!B62,"")</f>
        <v>0</v>
      </c>
      <c r="C29" s="150">
        <f>IF(AND('основные условия'!$K$8=1,C$4&lt;('основные условия'!$E$19+1)),'результат расчета'!C62,"")</f>
        <v>0</v>
      </c>
      <c r="D29" s="150">
        <f>IF(AND('основные условия'!$K$8=1,D$4&lt;('основные условия'!$E$19+1)),'результат расчета'!D62,"")</f>
        <v>0</v>
      </c>
      <c r="E29" s="150">
        <f>IF(AND('основные условия'!$K$8=1,E$4&lt;('основные условия'!$E$19+1)),'результат расчета'!E62,"")</f>
        <v>0</v>
      </c>
      <c r="F29" s="150">
        <f>IF(AND('основные условия'!$K$8=1,F$4&lt;('основные условия'!$E$19+1)),'результат расчета'!F62,"")</f>
        <v>0</v>
      </c>
      <c r="G29" s="150">
        <f>IF(AND('основные условия'!$K$8=1,G$4&lt;('основные условия'!$E$19+1)),'результат расчета'!G62,"")</f>
        <v>0</v>
      </c>
      <c r="H29" s="150">
        <f>IF(AND('основные условия'!$K$8=1,H$4&lt;('основные условия'!$E$19+1)),'результат расчета'!H62,"")</f>
        <v>0</v>
      </c>
      <c r="I29" s="150">
        <f>IF(AND('основные условия'!$K$8=1,I$4&lt;('основные условия'!$E$19+1)),'результат расчета'!I62,"")</f>
        <v>0</v>
      </c>
      <c r="J29" s="150">
        <f>IF(AND('основные условия'!$K$8=1,J$4&lt;('основные условия'!$E$19+1)),'результат расчета'!J62,"")</f>
        <v>0</v>
      </c>
      <c r="K29" s="150">
        <f>IF(AND('основные условия'!$K$8=1,K$4&lt;('основные условия'!$E$19+1)),'результат расчета'!K62,"")</f>
        <v>0</v>
      </c>
      <c r="L29" s="150">
        <f>IF(AND('основные условия'!$K$8=1,L$4&lt;('основные условия'!$E$19+1)),'результат расчета'!L62,"")</f>
        <v>2579.533332132959</v>
      </c>
      <c r="M29" s="150">
        <f>IF(AND('основные условия'!$K$8=1,M$4&lt;('основные условия'!$E$19+1)),'результат расчета'!M62,"")</f>
      </c>
      <c r="N29" s="150">
        <f>IF(AND('основные условия'!$K$8=1,N$4&lt;('основные условия'!$E$19+1)),'результат расчета'!N62,"")</f>
      </c>
      <c r="O29" s="150">
        <f>IF(AND('основные условия'!$K$8=1,O$4&lt;('основные условия'!$E$19+1)),'результат расчета'!O62,"")</f>
      </c>
      <c r="P29" s="150">
        <f>IF(AND('основные условия'!$K$8=1,P$4&lt;('основные условия'!$E$19+1)),'результат расчета'!P62,"")</f>
      </c>
      <c r="Q29" s="150">
        <f>IF(AND('основные условия'!$K$8=1,Q$4&lt;('основные условия'!$E$19+1)),'результат расчета'!Q62,"")</f>
      </c>
      <c r="R29" s="150">
        <f>IF(AND('основные условия'!$K$8=1,R$4&lt;('основные условия'!$E$19+1)),'результат расчета'!R62,"")</f>
      </c>
      <c r="S29" s="150">
        <f>IF(AND('основные условия'!$K$8=1,S$4&lt;('основные условия'!$E$19+1)),'результат расчета'!S62,"")</f>
      </c>
      <c r="T29" s="150">
        <f>IF(AND('основные условия'!$K$8=1,T$4&lt;('основные условия'!$E$19+1)),'результат расчета'!T62,"")</f>
      </c>
      <c r="U29" s="150">
        <f>IF(AND('основные условия'!$K$8=1,U$4&lt;('основные условия'!$E$19+1)),'результат расчета'!U62,"")</f>
      </c>
      <c r="V29" s="150">
        <f>IF(AND('основные условия'!$K$8=1,V$4&lt;('основные условия'!$E$19+1)),'результат расчета'!V62,"")</f>
      </c>
      <c r="W29" s="150">
        <f>IF(AND('основные условия'!$K$8=1,W$4&lt;('основные условия'!$E$19+1)),'результат расчета'!W62,"")</f>
      </c>
      <c r="X29" s="150">
        <f>IF(AND('основные условия'!$K$8=1,X$4&lt;('основные условия'!$E$19+1)),'результат расчета'!X62,"")</f>
      </c>
      <c r="Y29" s="150">
        <f>IF(AND('основные условия'!$K$8=1,Y$4&lt;('основные условия'!$E$19+1)),'результат расчета'!Y62,"")</f>
      </c>
      <c r="Z29" s="150">
        <f>IF(AND('основные условия'!$K$8=1,Z$4&lt;('основные условия'!$E$19+1)),'результат расчета'!Z62,"")</f>
      </c>
      <c r="AA29" s="150">
        <f>IF(AND('основные условия'!$K$8=1,AA$4&lt;('основные условия'!$E$19+1)),'результат расчета'!AA62,"")</f>
      </c>
      <c r="AB29" s="150">
        <f>IF(AND('основные условия'!$K$8=1,AB$4&lt;('основные условия'!$E$19+1)),'результат расчета'!AB62,"")</f>
      </c>
      <c r="AC29" s="150">
        <f>IF(AND('основные условия'!$K$8=1,AC$4&lt;('основные условия'!$E$19+1)),'результат расчета'!AC62,"")</f>
      </c>
      <c r="AD29" s="150">
        <f>IF(AND('основные условия'!$K$8=1,AD$4&lt;('основные условия'!$E$19+1)),'результат расчета'!AD62,"")</f>
      </c>
      <c r="AE29" s="150">
        <f>IF(AND('основные условия'!$K$8=1,AE$4&lt;('основные условия'!$E$19+1)),'результат расчета'!AE62,"")</f>
      </c>
      <c r="AF29" s="150">
        <f>IF(AND('основные условия'!$K$8=1,AF$4&lt;('основные условия'!$E$19+1)),'результат расчета'!AF62,"")</f>
      </c>
    </row>
    <row r="30" spans="1:32" ht="30">
      <c r="A30" s="20" t="s">
        <v>50</v>
      </c>
      <c r="B30" s="153">
        <f>IF(AND('основные условия'!$K$8=1,B$4&lt;('основные условия'!$E$19+1)),'результат расчета'!B63,"")</f>
        <v>0</v>
      </c>
      <c r="C30" s="153">
        <f>IF(AND('основные условия'!$K$8=1,C$4&lt;('основные условия'!$E$19+1)),'результат расчета'!C63,"")</f>
        <v>1071.1628851593985</v>
      </c>
      <c r="D30" s="153">
        <f>IF(AND('основные условия'!$K$8=1,D$4&lt;('основные условия'!$E$19+1)),'результат расчета'!D63,"")</f>
        <v>1033.9477186122979</v>
      </c>
      <c r="E30" s="153">
        <f>IF(AND('основные условия'!$K$8=1,E$4&lt;('основные условия'!$E$19+1)),'результат расчета'!E63,"")</f>
        <v>1062.2647186520724</v>
      </c>
      <c r="F30" s="153">
        <f>IF(AND('основные условия'!$K$8=1,F$4&lt;('основные условия'!$E$19+1)),'результат расчета'!F63,"")</f>
        <v>1102.6993660536807</v>
      </c>
      <c r="G30" s="153">
        <f>IF(AND('основные условия'!$K$8=1,G$4&lt;('основные условия'!$E$19+1)),'результат расчета'!G63,"")</f>
        <v>1056.4036143192818</v>
      </c>
      <c r="H30" s="153">
        <f>IF(AND('основные условия'!$K$8=1,H$4&lt;('основные условия'!$E$19+1)),'результат расчета'!H63,"")</f>
        <v>1007.2982044062094</v>
      </c>
      <c r="I30" s="153">
        <f>IF(AND('основные условия'!$K$8=1,I$4&lt;('основные условия'!$E$19+1)),'результат расчета'!I63,"")</f>
        <v>960.2044033851174</v>
      </c>
      <c r="J30" s="153">
        <f>IF(AND('основные условия'!$K$8=1,J$4&lt;('основные условия'!$E$19+1)),'результат расчета'!J63,"")</f>
        <v>915.1367712716151</v>
      </c>
      <c r="K30" s="153">
        <f>IF(AND('основные условия'!$K$8=1,K$4&lt;('основные условия'!$E$19+1)),'результат расчета'!K63,"")</f>
        <v>874.6011080503993</v>
      </c>
      <c r="L30" s="153">
        <f>IF(AND('основные условия'!$K$8=1,L$4&lt;('основные условия'!$E$19+1)),'результат расчета'!L63,"")</f>
        <v>1866.718190650514</v>
      </c>
      <c r="M30" s="153">
        <f>IF(AND('основные условия'!$K$8=1,M$4&lt;('основные условия'!$E$19+1)),'результат расчета'!M63,"")</f>
      </c>
      <c r="N30" s="153">
        <f>IF(AND('основные условия'!$K$8=1,N$4&lt;('основные условия'!$E$19+1)),'результат расчета'!N63,"")</f>
      </c>
      <c r="O30" s="153">
        <f>IF(AND('основные условия'!$K$8=1,O$4&lt;('основные условия'!$E$19+1)),'результат расчета'!O63,"")</f>
      </c>
      <c r="P30" s="153">
        <f>IF(AND('основные условия'!$K$8=1,P$4&lt;('основные условия'!$E$19+1)),'результат расчета'!P63,"")</f>
      </c>
      <c r="Q30" s="153">
        <f>IF(AND('основные условия'!$K$8=1,Q$4&lt;('основные условия'!$E$19+1)),'результат расчета'!Q63,"")</f>
      </c>
      <c r="R30" s="153">
        <f>IF(AND('основные условия'!$K$8=1,R$4&lt;('основные условия'!$E$19+1)),'результат расчета'!R63,"")</f>
      </c>
      <c r="S30" s="153">
        <f>IF(AND('основные условия'!$K$8=1,S$4&lt;('основные условия'!$E$19+1)),'результат расчета'!S63,"")</f>
      </c>
      <c r="T30" s="153">
        <f>IF(AND('основные условия'!$K$8=1,T$4&lt;('основные условия'!$E$19+1)),'результат расчета'!T63,"")</f>
      </c>
      <c r="U30" s="153">
        <f>IF(AND('основные условия'!$K$8=1,U$4&lt;('основные условия'!$E$19+1)),'результат расчета'!U63,"")</f>
      </c>
      <c r="V30" s="153">
        <f>IF(AND('основные условия'!$K$8=1,V$4&lt;('основные условия'!$E$19+1)),'результат расчета'!V63,"")</f>
      </c>
      <c r="W30" s="153">
        <f>IF(AND('основные условия'!$K$8=1,W$4&lt;('основные условия'!$E$19+1)),'результат расчета'!W63,"")</f>
      </c>
      <c r="X30" s="150">
        <f>IF(AND('основные условия'!$K$8=1,X$4&lt;('основные условия'!$E$19+1)),'результат расчета'!X63,"")</f>
      </c>
      <c r="Y30" s="150">
        <f>IF(AND('основные условия'!$K$8=1,Y$4&lt;('основные условия'!$E$19+1)),'результат расчета'!Y63,"")</f>
      </c>
      <c r="Z30" s="150">
        <f>IF(AND('основные условия'!$K$8=1,Z$4&lt;('основные условия'!$E$19+1)),'результат расчета'!Z63,"")</f>
      </c>
      <c r="AA30" s="150">
        <f>IF(AND('основные условия'!$K$8=1,AA$4&lt;('основные условия'!$E$19+1)),'результат расчета'!AA63,"")</f>
      </c>
      <c r="AB30" s="150">
        <f>IF(AND('основные условия'!$K$8=1,AB$4&lt;('основные условия'!$E$19+1)),'результат расчета'!AB63,"")</f>
      </c>
      <c r="AC30" s="150">
        <f>IF(AND('основные условия'!$K$8=1,AC$4&lt;('основные условия'!$E$19+1)),'результат расчета'!AC63,"")</f>
      </c>
      <c r="AD30" s="150">
        <f>IF(AND('основные условия'!$K$8=1,AD$4&lt;('основные условия'!$E$19+1)),'результат расчета'!AD63,"")</f>
      </c>
      <c r="AE30" s="150">
        <f>IF(AND('основные условия'!$K$8=1,AE$4&lt;('основные условия'!$E$19+1)),'результат расчета'!AE63,"")</f>
      </c>
      <c r="AF30" s="150">
        <f>IF(AND('основные условия'!$K$8=1,AF$4&lt;('основные условия'!$E$19+1)),'результат расчета'!AF63,"")</f>
      </c>
    </row>
    <row r="31" spans="1:32" ht="30">
      <c r="A31" s="20" t="s">
        <v>154</v>
      </c>
      <c r="B31" s="163">
        <f ca="1">SUM(OFFSET(C30,0,0,1,'основные условия'!$E$19))</f>
        <v>10950.436980560586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23" ht="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61"/>
    </row>
    <row r="33" spans="1:22" ht="45">
      <c r="A33" s="84" t="s">
        <v>230</v>
      </c>
      <c r="B33" s="153">
        <f>SUM(B31,B22,B13)</f>
        <v>51339.745199793935</v>
      </c>
      <c r="C33" s="78"/>
      <c r="D33" s="78"/>
      <c r="E33" s="78"/>
      <c r="F33" s="78"/>
      <c r="G33" s="78"/>
      <c r="H33" s="78"/>
      <c r="I33" s="78"/>
      <c r="J33" s="78"/>
      <c r="K33" s="78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3:9" ht="15">
      <c r="C34" s="61"/>
      <c r="D34" s="61"/>
      <c r="E34" s="61"/>
      <c r="F34" s="61"/>
      <c r="G34" s="61"/>
      <c r="H34" s="61"/>
      <c r="I34" s="61"/>
    </row>
    <row r="35" spans="1:10" ht="60">
      <c r="A35" s="113" t="s">
        <v>135</v>
      </c>
      <c r="J35" s="158"/>
    </row>
    <row r="36" spans="1:32" ht="30" customHeight="1">
      <c r="A36" s="364" t="s">
        <v>106</v>
      </c>
      <c r="B36" s="364"/>
      <c r="C36" s="349">
        <f>IF('основные условия'!$K$7=1,'расчет RAB'!C17,"")</f>
      </c>
      <c r="D36" s="81">
        <f>IF('основные условия'!$K$7=1,'расчет RAB'!D17,"")</f>
      </c>
      <c r="E36" s="81">
        <f>IF('основные условия'!$K$7=1,'расчет RAB'!E17,"")</f>
      </c>
      <c r="F36" s="81">
        <f>IF('основные условия'!$K$7=1,'расчет RAB'!F17,"")</f>
      </c>
      <c r="G36" s="81">
        <f>IF('основные условия'!$K$7=1,'расчет RAB'!G17,"")</f>
      </c>
      <c r="H36" s="81">
        <f>IF('основные условия'!$K$7=1,'расчет RAB'!H17,"")</f>
      </c>
      <c r="I36" s="81">
        <f>IF('основные условия'!$K$7=1,'расчет RAB'!I17,"")</f>
      </c>
      <c r="J36" s="81">
        <f>IF('основные условия'!$K$7=1,'расчет RAB'!J17,"")</f>
      </c>
      <c r="K36" s="81">
        <f>IF('основные условия'!$K$7=1,'расчет RAB'!K17,"")</f>
      </c>
      <c r="L36" s="81">
        <f>IF('основные условия'!$K$7=1,'расчет RAB'!L17,"")</f>
      </c>
      <c r="M36" s="81">
        <f>IF('основные условия'!$K$7=1,'расчет RAB'!M17,"")</f>
      </c>
      <c r="N36" s="81">
        <f>IF('основные условия'!$K$7=1,'расчет RAB'!N17,"")</f>
      </c>
      <c r="O36" s="81">
        <f>IF('основные условия'!$K$7=1,'расчет RAB'!O17,"")</f>
      </c>
      <c r="P36" s="81">
        <f>IF('основные условия'!$K$7=1,'расчет RAB'!P17,"")</f>
      </c>
      <c r="Q36" s="81">
        <f>IF('основные условия'!$K$7=1,'расчет RAB'!Q17,"")</f>
      </c>
      <c r="R36" s="81">
        <f>IF('основные условия'!$K$7=1,'расчет RAB'!R17,"")</f>
      </c>
      <c r="S36" s="81">
        <f>IF('основные условия'!$K$7=1,'расчет RAB'!S17,"")</f>
      </c>
      <c r="T36" s="81">
        <f>IF('основные условия'!$K$7=1,'расчет RAB'!T17,"")</f>
      </c>
      <c r="U36" s="81">
        <f>IF('основные условия'!$K$7=1,'расчет RAB'!U17,"")</f>
      </c>
      <c r="V36" s="81">
        <f>IF('основные условия'!$K$7=1,'расчет RAB'!V17,"")</f>
      </c>
      <c r="W36" s="81">
        <f>IF('основные условия'!$K$7=1,'расчет RAB'!W17,"")</f>
      </c>
      <c r="X36" s="81">
        <f>IF('основные условия'!$K$7=1,'расчет RAB'!X17,"")</f>
      </c>
      <c r="Y36" s="81">
        <f>IF('основные условия'!$K$7=1,'расчет RAB'!Y17,"")</f>
      </c>
      <c r="Z36" s="81">
        <f>IF('основные условия'!$K$7=1,'расчет RAB'!Z17,"")</f>
      </c>
      <c r="AA36" s="81">
        <f>IF('основные условия'!$K$7=1,'расчет RAB'!AA17,"")</f>
      </c>
      <c r="AB36" s="81">
        <f>IF('основные условия'!$K$7=1,'расчет RAB'!AB17,"")</f>
      </c>
      <c r="AC36" s="81">
        <f>IF('основные условия'!$K$7=1,'расчет RAB'!AC17,"")</f>
      </c>
      <c r="AD36" s="81">
        <f>IF('основные условия'!$K$7=1,'расчет RAB'!AD17,"")</f>
      </c>
      <c r="AE36" s="81">
        <f>IF('основные условия'!$K$7=1,'расчет RAB'!AE17,"")</f>
      </c>
      <c r="AF36" s="81">
        <f>IF('основные условия'!$K$7=1,'расчет RAB'!AF17,"")</f>
      </c>
    </row>
    <row r="37" spans="1:33" ht="15">
      <c r="A37" s="364" t="s">
        <v>88</v>
      </c>
      <c r="B37" s="364"/>
      <c r="C37" s="349">
        <f>IF('основные условия'!$K$6=1,'расчет RAB'!C97,"")</f>
      </c>
      <c r="D37" s="112">
        <f>IF('основные условия'!$K$6=1,'расчет RAB'!D97,"")</f>
      </c>
      <c r="E37" s="112">
        <f>IF('основные условия'!$K$6=1,'расчет RAB'!E97,"")</f>
      </c>
      <c r="F37" s="112">
        <f>IF('основные условия'!$K$6=1,'расчет RAB'!F97,"")</f>
      </c>
      <c r="G37" s="112">
        <f>IF('основные условия'!$K$6=1,'расчет RAB'!G97,"")</f>
      </c>
      <c r="H37" s="112">
        <f>IF('основные условия'!$K$6=1,'расчет RAB'!H97,"")</f>
      </c>
      <c r="I37" s="112">
        <f>IF('основные условия'!$K$6=1,'расчет RAB'!I97,"")</f>
      </c>
      <c r="J37" s="112">
        <f>IF('основные условия'!$K$6=1,'расчет RAB'!J97,"")</f>
      </c>
      <c r="K37" s="112">
        <f>IF('основные условия'!$K$6=1,'расчет RAB'!K97,"")</f>
      </c>
      <c r="L37" s="112">
        <f>IF('основные условия'!$K$6=1,'расчет RAB'!L97,"")</f>
      </c>
      <c r="M37" s="112">
        <f>IF('основные условия'!$K$6=1,'расчет RAB'!M97,"")</f>
      </c>
      <c r="N37" s="112">
        <f>IF('основные условия'!$K$6=1,'расчет RAB'!N97,"")</f>
      </c>
      <c r="O37" s="112">
        <f>IF('основные условия'!$K$6=1,'расчет RAB'!O97,"")</f>
      </c>
      <c r="P37" s="112">
        <f>IF('основные условия'!$K$6=1,'расчет RAB'!P97,"")</f>
      </c>
      <c r="Q37" s="112">
        <f>IF('основные условия'!$K$6=1,'расчет RAB'!Q97,"")</f>
      </c>
      <c r="R37" s="112">
        <f>IF('основные условия'!$K$6=1,'расчет RAB'!R97,"")</f>
      </c>
      <c r="S37" s="112">
        <f>IF('основные условия'!$K$6=1,'расчет RAB'!S97,"")</f>
      </c>
      <c r="T37" s="112">
        <f>IF('основные условия'!$K$6=1,'расчет RAB'!T97,"")</f>
      </c>
      <c r="U37" s="112">
        <f>IF('основные условия'!$K$6=1,'расчет RAB'!U97,"")</f>
      </c>
      <c r="V37" s="112">
        <f>IF('основные условия'!$K$6=1,'расчет RAB'!V97,"")</f>
      </c>
      <c r="W37" s="112">
        <f>IF('основные условия'!$K$6=1,'расчет RAB'!W97,"")</f>
      </c>
      <c r="X37" s="112">
        <f>IF('основные условия'!$K$6=1,'расчет RAB'!X97,"")</f>
      </c>
      <c r="Y37" s="112">
        <f>IF('основные условия'!$K$6=1,'расчет RAB'!Y97,"")</f>
      </c>
      <c r="Z37" s="112">
        <f>IF('основные условия'!$K$6=1,'расчет RAB'!Z97,"")</f>
      </c>
      <c r="AA37" s="112">
        <f>IF('основные условия'!$K$6=1,'расчет RAB'!AA97,"")</f>
      </c>
      <c r="AB37" s="112">
        <f>IF('основные условия'!$K$6=1,'расчет RAB'!AB97,"")</f>
      </c>
      <c r="AC37" s="112">
        <f>IF('основные условия'!$K$6=1,'расчет RAB'!AC97,"")</f>
      </c>
      <c r="AD37" s="112">
        <f>IF('основные условия'!$K$6=1,'расчет RAB'!AD97,"")</f>
      </c>
      <c r="AE37" s="112">
        <f>IF('основные условия'!$K$6=1,'расчет RAB'!AE97,"")</f>
      </c>
      <c r="AF37" s="112">
        <f>IF('основные условия'!$K$6=1,'расчет RAB'!AF97,"")</f>
      </c>
      <c r="AG37">
        <f>IF('основные условия'!$K$6=1,'расчет RAB'!AG97,"")</f>
        <v>0</v>
      </c>
    </row>
    <row r="38" spans="1:32" ht="15">
      <c r="A38" s="364" t="s">
        <v>87</v>
      </c>
      <c r="B38" s="364"/>
      <c r="C38" s="349">
        <f>IF('основные условия'!$K$8=1,'расчет RAB'!C186,"")</f>
      </c>
      <c r="D38" s="112">
        <f>IF('основные условия'!$K$8=1,'расчет RAB'!D186,"")</f>
      </c>
      <c r="E38" s="112">
        <f>IF('основные условия'!$K$8=1,'расчет RAB'!E186,"")</f>
      </c>
      <c r="F38" s="112">
        <f>IF('основные условия'!$K$8=1,'расчет RAB'!F186,"")</f>
      </c>
      <c r="G38" s="112">
        <f>IF('основные условия'!$K$8=1,'расчет RAB'!G186,"")</f>
      </c>
      <c r="H38" s="112">
        <f>IF('основные условия'!$K$8=1,'расчет RAB'!H186,"")</f>
      </c>
      <c r="I38" s="112">
        <f>IF('основные условия'!$K$8=1,'расчет RAB'!I186,"")</f>
      </c>
      <c r="J38" s="112">
        <f>IF('основные условия'!$K$8=1,'расчет RAB'!J186,"")</f>
      </c>
      <c r="K38" s="112">
        <f>IF('основные условия'!$K$8=1,'расчет RAB'!K186,"")</f>
      </c>
      <c r="L38" s="112">
        <f>IF('основные условия'!$K$8=1,'расчет RAB'!L186,"")</f>
      </c>
      <c r="M38" s="112">
        <f>IF('основные условия'!$K$8=1,'расчет RAB'!M186,"")</f>
      </c>
      <c r="N38" s="112">
        <f>IF('основные условия'!$K$8=1,'расчет RAB'!N186,"")</f>
      </c>
      <c r="O38" s="112">
        <f>IF('основные условия'!$K$8=1,'расчет RAB'!O186,"")</f>
      </c>
      <c r="P38" s="112">
        <f>IF('основные условия'!$K$8=1,'расчет RAB'!P186,"")</f>
      </c>
      <c r="Q38" s="112">
        <f>IF('основные условия'!$K$8=1,'расчет RAB'!Q186,"")</f>
      </c>
      <c r="R38" s="112">
        <f>IF('основные условия'!$K$8=1,'расчет RAB'!R186,"")</f>
      </c>
      <c r="S38" s="112">
        <f>IF('основные условия'!$K$8=1,'расчет RAB'!S186,"")</f>
      </c>
      <c r="T38" s="112">
        <f>IF('основные условия'!$K$8=1,'расчет RAB'!T186,"")</f>
      </c>
      <c r="U38" s="112">
        <f>IF('основные условия'!$K$8=1,'расчет RAB'!U186,"")</f>
      </c>
      <c r="V38" s="112">
        <f>IF('основные условия'!$K$8=1,'расчет RAB'!V186,"")</f>
      </c>
      <c r="W38" s="112">
        <f>IF('основные условия'!$K$8=1,'расчет RAB'!W186,"")</f>
      </c>
      <c r="X38" s="112">
        <f>IF('основные условия'!$K$8=1,'расчет RAB'!X186,"")</f>
      </c>
      <c r="Y38" s="112">
        <f>IF('основные условия'!$K$8=1,'расчет RAB'!Y186,"")</f>
      </c>
      <c r="Z38" s="112">
        <f>IF('основные условия'!$K$8=1,'расчет RAB'!Z186,"")</f>
      </c>
      <c r="AA38" s="112">
        <f>IF('основные условия'!$K$8=1,'расчет RAB'!AA186,"")</f>
      </c>
      <c r="AB38" s="112">
        <f>IF('основные условия'!$K$8=1,'расчет RAB'!AB186,"")</f>
      </c>
      <c r="AC38" s="112">
        <f>IF('основные условия'!$K$8=1,'расчет RAB'!AC186,"")</f>
      </c>
      <c r="AD38" s="112">
        <f>IF('основные условия'!$K$8=1,'расчет RAB'!AD186,"")</f>
      </c>
      <c r="AE38" s="112">
        <f>IF('основные условия'!$K$8=1,'расчет RAB'!AE186,"")</f>
      </c>
      <c r="AF38" s="112">
        <f>IF('основные условия'!$K$8=1,'расчет RAB'!AF186,"")</f>
      </c>
    </row>
    <row r="40" spans="1:32" ht="30">
      <c r="A40" s="83" t="s">
        <v>106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s="69" customFormat="1" ht="15">
      <c r="A41" s="100" t="s">
        <v>48</v>
      </c>
      <c r="B41" s="101">
        <f>SUM(B42:B46)</f>
        <v>1500</v>
      </c>
      <c r="C41" s="101">
        <f aca="true" t="shared" si="0" ref="C41:AF41">SUM(C42:C46)</f>
        <v>1749.7104991609222</v>
      </c>
      <c r="D41" s="101">
        <f t="shared" si="0"/>
        <v>2082.361324664299</v>
      </c>
      <c r="E41" s="101">
        <f t="shared" si="0"/>
        <v>2319.087740283188</v>
      </c>
      <c r="F41" s="101">
        <f t="shared" si="0"/>
        <v>2195.400176536409</v>
      </c>
      <c r="G41" s="101">
        <f t="shared" si="0"/>
        <v>2350.813568849334</v>
      </c>
      <c r="H41" s="101">
        <f t="shared" si="0"/>
        <v>2485.129124503684</v>
      </c>
      <c r="I41" s="101">
        <f t="shared" si="0"/>
        <v>2628.067464885689</v>
      </c>
      <c r="J41" s="101">
        <f t="shared" si="0"/>
        <v>2780.1232767571514</v>
      </c>
      <c r="K41" s="101">
        <f t="shared" si="0"/>
        <v>2958.8036591153386</v>
      </c>
      <c r="L41" s="101">
        <f t="shared" si="0"/>
        <v>5006.6002157907915</v>
      </c>
      <c r="M41" s="101">
        <f t="shared" si="0"/>
        <v>3329.744626944461</v>
      </c>
      <c r="N41" s="101">
        <f t="shared" si="0"/>
        <v>3517.397436905884</v>
      </c>
      <c r="O41" s="101">
        <f t="shared" si="0"/>
        <v>3811.211905946204</v>
      </c>
      <c r="P41" s="101">
        <f t="shared" si="0"/>
        <v>4189.351905946856</v>
      </c>
      <c r="Q41" s="101">
        <f t="shared" si="0"/>
        <v>4579.192914372249</v>
      </c>
      <c r="R41" s="101">
        <f t="shared" si="0"/>
        <v>4996.260866302734</v>
      </c>
      <c r="S41" s="101">
        <f t="shared" si="0"/>
        <v>5441.145697895574</v>
      </c>
      <c r="T41" s="101">
        <f t="shared" si="0"/>
        <v>5914.406982919318</v>
      </c>
      <c r="U41" s="101">
        <f t="shared" si="0"/>
        <v>6421.485825241724</v>
      </c>
      <c r="V41" s="101">
        <f t="shared" si="0"/>
        <v>6953.4655854612365</v>
      </c>
      <c r="W41" s="101">
        <f t="shared" si="0"/>
        <v>7515.563724094201</v>
      </c>
      <c r="X41" s="101">
        <f t="shared" si="0"/>
        <v>8100.145411283062</v>
      </c>
      <c r="Y41" s="101">
        <f t="shared" si="0"/>
        <v>8701.74918453842</v>
      </c>
      <c r="Z41" s="101">
        <f t="shared" si="0"/>
        <v>9337.80854721129</v>
      </c>
      <c r="AA41" s="101">
        <f t="shared" si="0"/>
        <v>10028.076000594634</v>
      </c>
      <c r="AB41" s="101">
        <f t="shared" si="0"/>
        <v>10824.349319686013</v>
      </c>
      <c r="AC41" s="101">
        <f t="shared" si="0"/>
        <v>11716.024924517866</v>
      </c>
      <c r="AD41" s="101">
        <f t="shared" si="0"/>
        <v>12655.08026315674</v>
      </c>
      <c r="AE41" s="101">
        <f t="shared" si="0"/>
        <v>13648.040663942362</v>
      </c>
      <c r="AF41" s="101">
        <f t="shared" si="0"/>
        <v>14752.792471842806</v>
      </c>
    </row>
    <row r="42" spans="1:32" s="69" customFormat="1" ht="15">
      <c r="A42" s="102" t="s">
        <v>47</v>
      </c>
      <c r="B42" s="103">
        <f>IF('основные условия'!$J$15=1,'расчет RAB'!B80,'расчет индексация'!B70)</f>
        <v>1500</v>
      </c>
      <c r="C42" s="103">
        <f>IF('основные условия'!$J$15=1,'расчет RAB'!C80,'расчет индексация'!C70)</f>
        <v>1722.2104991609222</v>
      </c>
      <c r="D42" s="103">
        <f>IF('основные условия'!$J$15=1,'расчет RAB'!D80,'расчет индексация'!D70)</f>
        <v>2051.891449099325</v>
      </c>
      <c r="E42" s="103">
        <f>IF('основные условия'!$J$15=1,'расчет RAB'!E80,'расчет индексация'!E70)</f>
        <v>2287.0337405780624</v>
      </c>
      <c r="F42" s="103">
        <f>IF('основные условия'!$J$15=1,'расчет RAB'!F80,'расчет индексация'!F70)</f>
        <v>2161.102396851925</v>
      </c>
      <c r="G42" s="103">
        <f>IF('основные условия'!$J$15=1,'расчет RAB'!G80,'расчет индексация'!G70)</f>
        <v>2314.114944586936</v>
      </c>
      <c r="H42" s="103">
        <f>IF('основные условия'!$J$15=1,'расчет RAB'!H80,'расчет индексация'!H70)</f>
        <v>2445.861596542918</v>
      </c>
      <c r="I42" s="103">
        <f>IF('основные условия'!$J$15=1,'расчет RAB'!I80,'расчет индексация'!I70)</f>
        <v>2586.0512099676694</v>
      </c>
      <c r="J42" s="103">
        <f>IF('основные условия'!$J$15=1,'расчет RAB'!J80,'расчет индексация'!J70)</f>
        <v>2735.1658839948705</v>
      </c>
      <c r="K42" s="103">
        <f>IF('основные условия'!$J$15=1,'расчет RAB'!K80,'расчет индексация'!K70)</f>
        <v>2910.699248859698</v>
      </c>
      <c r="L42" s="103">
        <f>IF('основные условия'!$J$15=1,'расчет RAB'!L80,'расчет индексация'!L70)</f>
        <v>3080.7388154368055</v>
      </c>
      <c r="M42" s="103">
        <f>IF('основные условия'!$J$15=1,'расчет RAB'!M80,'расчет индексация'!M70)</f>
        <v>3274.6698876427777</v>
      </c>
      <c r="N42" s="103">
        <f>IF('основные условия'!$J$15=1,'расчет RAB'!N80,'расчет индексация'!N70)</f>
        <v>3458.4674658530835</v>
      </c>
      <c r="O42" s="103">
        <f>IF('основные условия'!$J$15=1,'расчет RAB'!O80,'расчет индексация'!O70)</f>
        <v>3748.156836919707</v>
      </c>
      <c r="P42" s="103">
        <f>IF('основные условия'!$J$15=1,'расчет RAB'!P80,'расчет индексация'!P70)</f>
        <v>4121.882982088505</v>
      </c>
      <c r="Q42" s="103">
        <f>IF('основные условия'!$J$15=1,'расчет RAB'!Q80,'расчет индексация'!Q70)</f>
        <v>4507.0011658438125</v>
      </c>
      <c r="R42" s="103">
        <f>IF('основные условия'!$J$15=1,'расчет RAB'!R80,'расчет индексация'!R70)</f>
        <v>4919.015695377307</v>
      </c>
      <c r="S42" s="103">
        <f>IF('основные условия'!$J$15=1,'расчет RAB'!S80,'расчет индексация'!S70)</f>
        <v>5358.493365005367</v>
      </c>
      <c r="T42" s="103">
        <f>IF('основные условия'!$J$15=1,'расчет RAB'!T80,'расчет индексация'!T70)</f>
        <v>5825.968986726796</v>
      </c>
      <c r="U42" s="103">
        <f>IF('основные условия'!$J$15=1,'расчет RAB'!U80,'расчет индексация'!U70)</f>
        <v>6326.857169315726</v>
      </c>
      <c r="V42" s="103">
        <f>IF('основные условия'!$J$15=1,'расчет RAB'!V80,'расчет индексация'!V70)</f>
        <v>6852.212923620419</v>
      </c>
      <c r="W42" s="103">
        <f>IF('основные условия'!$J$15=1,'расчет RAB'!W80,'расчет индексация'!W70)</f>
        <v>7407.223375924526</v>
      </c>
      <c r="X42" s="103">
        <f>IF('основные условия'!$J$15=1,'расчет RAB'!X80,'расчет индексация'!X70)</f>
        <v>7984.221238741509</v>
      </c>
      <c r="Y42" s="103">
        <f>IF('основные условия'!$J$15=1,'расчет RAB'!Y80,'расчет индексация'!Y70)</f>
        <v>8577.710319918959</v>
      </c>
      <c r="Z42" s="103">
        <f>IF('основные условия'!$J$15=1,'расчет RAB'!Z80,'расчет индексация'!Z70)</f>
        <v>9205.086962068468</v>
      </c>
      <c r="AA42" s="103">
        <f>IF('основные условия'!$J$15=1,'расчет RAB'!AA80,'расчет индексация'!AA70)</f>
        <v>9886.063904491813</v>
      </c>
      <c r="AB42" s="103">
        <f>IF('основные условия'!$J$15=1,'расчет RAB'!AB80,'расчет индексация'!AB70)</f>
        <v>10672.396376855995</v>
      </c>
      <c r="AC42" s="103">
        <f>IF('основные условия'!$J$15=1,'расчет RAB'!AC80,'расчет индексация'!AC70)</f>
        <v>11553.435275689746</v>
      </c>
      <c r="AD42" s="103">
        <f>IF('основные условия'!$J$15=1,'расчет RAB'!AD80,'расчет индексация'!AD70)</f>
        <v>12481.109338910652</v>
      </c>
      <c r="AE42" s="103">
        <f>IF('основные условия'!$J$15=1,'расчет RAB'!AE80,'расчет индексация'!AE70)</f>
        <v>13461.891774999047</v>
      </c>
      <c r="AF42" s="103">
        <f>IF('основные условия'!$J$15=1,'расчет RAB'!AF80,'расчет индексация'!AF70)</f>
        <v>14553.61316067346</v>
      </c>
    </row>
    <row r="43" spans="1:32" s="69" customFormat="1" ht="79.5" customHeight="1">
      <c r="A43" s="19" t="s">
        <v>228</v>
      </c>
      <c r="B43" s="103">
        <f>IF('основные условия'!$J$15=1,'расчет RAB'!B88,'расчет индексация'!B78)</f>
        <v>0</v>
      </c>
      <c r="C43" s="103">
        <f>IF('основные условия'!$J$15=1,'расчет RAB'!C88,'расчет индексация'!C78)</f>
        <v>0</v>
      </c>
      <c r="D43" s="103">
        <f>IF('основные условия'!$J$15=1,'расчет RAB'!D88,'расчет индексация'!D78)</f>
        <v>0</v>
      </c>
      <c r="E43" s="103">
        <f>IF('основные условия'!$J$15=1,'расчет RAB'!E88,'расчет индексация'!E78)</f>
        <v>0</v>
      </c>
      <c r="F43" s="103">
        <f>IF('основные условия'!$J$15=1,'расчет RAB'!F88,'расчет индексация'!F78)</f>
        <v>0</v>
      </c>
      <c r="G43" s="103">
        <f>IF('основные условия'!$J$15=1,'расчет RAB'!G88,'расчет индексация'!G78)</f>
        <v>0</v>
      </c>
      <c r="H43" s="103">
        <f>IF('основные условия'!$J$15=1,'расчет RAB'!H88,'расчет индексация'!H78)</f>
        <v>0</v>
      </c>
      <c r="I43" s="103">
        <f>IF('основные условия'!$J$15=1,'расчет RAB'!I88,'расчет индексация'!I78)</f>
        <v>0</v>
      </c>
      <c r="J43" s="103">
        <f>IF('основные условия'!$J$15=1,'расчет RAB'!J88,'расчет индексация'!J78)</f>
        <v>0</v>
      </c>
      <c r="K43" s="103">
        <f>IF('основные условия'!$J$15=1,'расчет RAB'!K88,'расчет индексация'!K78)</f>
        <v>0</v>
      </c>
      <c r="L43" s="103">
        <f>IF('основные условия'!$J$15=1,'расчет RAB'!L88,'расчет индексация'!L78)</f>
        <v>0</v>
      </c>
      <c r="M43" s="103">
        <f>IF('основные условия'!$J$15=1,'расчет RAB'!M88,'расчет индексация'!M78)</f>
        <v>0</v>
      </c>
      <c r="N43" s="103">
        <f>IF('основные условия'!$J$15=1,'расчет RAB'!N88,'расчет индексация'!N78)</f>
        <v>0</v>
      </c>
      <c r="O43" s="103">
        <f>IF('основные условия'!$J$15=1,'расчет RAB'!O88,'расчет индексация'!O78)</f>
        <v>0</v>
      </c>
      <c r="P43" s="103">
        <f>IF('основные условия'!$J$15=1,'расчет RAB'!P88,'расчет индексация'!P78)</f>
        <v>0</v>
      </c>
      <c r="Q43" s="103">
        <f>IF('основные условия'!$J$15=1,'расчет RAB'!Q88,'расчет индексация'!Q78)</f>
        <v>0</v>
      </c>
      <c r="R43" s="103">
        <f>IF('основные условия'!$J$15=1,'расчет RAB'!R88,'расчет индексация'!R78)</f>
        <v>0</v>
      </c>
      <c r="S43" s="103">
        <f>IF('основные условия'!$J$15=1,'расчет RAB'!S88,'расчет индексация'!S78)</f>
        <v>0</v>
      </c>
      <c r="T43" s="103">
        <f>IF('основные условия'!$J$15=1,'расчет RAB'!T88,'расчет индексация'!T78)</f>
        <v>0</v>
      </c>
      <c r="U43" s="103">
        <f>IF('основные условия'!$J$15=1,'расчет RAB'!U88,'расчет индексация'!U78)</f>
        <v>0</v>
      </c>
      <c r="V43" s="103">
        <f>IF('основные условия'!$J$15=1,'расчет RAB'!V88,'расчет индексация'!V78)</f>
        <v>0</v>
      </c>
      <c r="W43" s="103">
        <f>IF('основные условия'!$J$15=1,'расчет RAB'!W88,'расчет индексация'!W78)</f>
        <v>0</v>
      </c>
      <c r="X43" s="103">
        <f>IF('основные условия'!$J$15=1,'расчет RAB'!X88,'расчет индексация'!X78)</f>
        <v>0</v>
      </c>
      <c r="Y43" s="103">
        <f>IF('основные условия'!$J$15=1,'расчет RAB'!Y88,'расчет индексация'!Y78)</f>
        <v>0</v>
      </c>
      <c r="Z43" s="103">
        <f>IF('основные условия'!$J$15=1,'расчет RAB'!Z88,'расчет индексация'!Z78)</f>
        <v>0</v>
      </c>
      <c r="AA43" s="103">
        <f>IF('основные условия'!$J$15=1,'расчет RAB'!AA88,'расчет индексация'!AA78)</f>
        <v>0</v>
      </c>
      <c r="AB43" s="103">
        <f>IF('основные условия'!$J$15=1,'расчет RAB'!AB88,'расчет индексация'!AB78)</f>
        <v>0</v>
      </c>
      <c r="AC43" s="103">
        <f>IF('основные условия'!$J$15=1,'расчет RAB'!AC88,'расчет индексация'!AC78)</f>
        <v>0</v>
      </c>
      <c r="AD43" s="103">
        <f>IF('основные условия'!$J$15=1,'расчет RAB'!AD88,'расчет индексация'!AD78)</f>
        <v>0</v>
      </c>
      <c r="AE43" s="103">
        <f>IF('основные условия'!$J$15=1,'расчет RAB'!AE88,'расчет индексация'!AE78)</f>
        <v>0</v>
      </c>
      <c r="AF43" s="103">
        <f>IF('основные условия'!$J$15=1,'расчет RAB'!AF88,'расчет индексация'!AF78)</f>
        <v>0</v>
      </c>
    </row>
    <row r="44" spans="1:32" s="162" customFormat="1" ht="60">
      <c r="A44" s="160" t="s">
        <v>229</v>
      </c>
      <c r="B44" s="161"/>
      <c r="C44" s="172">
        <f>IF('основные условия'!$J$15=1,'расчет RAB'!C89,'расчет индексация'!C79)</f>
        <v>16.5</v>
      </c>
      <c r="D44" s="172">
        <f>IF('основные условия'!$J$15=1,'расчет RAB'!D89,'расчет индексация'!D79)</f>
        <v>18.315000000000005</v>
      </c>
      <c r="E44" s="172">
        <f>IF('основные условия'!$J$15=1,'расчет RAB'!E89,'расчет индексация'!E79)</f>
        <v>19.230750000000004</v>
      </c>
      <c r="F44" s="172">
        <f>IF('основные условия'!$J$15=1,'расчет RAB'!F89,'расчет индексация'!F79)</f>
        <v>20.57690250000001</v>
      </c>
      <c r="G44" s="172">
        <f>IF('основные условия'!$J$15=1,'расчет RAB'!G89,'расчет индексация'!G79)</f>
        <v>22.01728567500001</v>
      </c>
      <c r="H44" s="172">
        <f>IF('основные условия'!$J$15=1,'расчет RAB'!H89,'расчет индексация'!H79)</f>
        <v>23.55849567225001</v>
      </c>
      <c r="I44" s="172">
        <f>IF('основные условия'!$J$15=1,'расчет RAB'!I89,'расчет индексация'!I79)</f>
        <v>25.207590369307514</v>
      </c>
      <c r="J44" s="172">
        <f>IF('основные условия'!$J$15=1,'расчет RAB'!J89,'расчет индексация'!J79)</f>
        <v>26.972121695159043</v>
      </c>
      <c r="K44" s="172">
        <f>IF('основные условия'!$J$15=1,'расчет RAB'!K89,'расчет индексация'!K79)</f>
        <v>28.860170213820176</v>
      </c>
      <c r="L44" s="172">
        <f>IF('основные условия'!$J$15=1,'расчет RAB'!L89,'расчет индексация'!L79)</f>
        <v>30.880382128787588</v>
      </c>
      <c r="M44" s="172">
        <f>IF('основные условия'!$J$15=1,'расчет RAB'!M89,'расчет индексация'!M79)</f>
        <v>33.04200887780272</v>
      </c>
      <c r="N44" s="172">
        <f>IF('основные условия'!$J$15=1,'расчет RAB'!N89,'расчет индексация'!N79)</f>
        <v>35.35494949924892</v>
      </c>
      <c r="O44" s="172">
        <f>IF('основные условия'!$J$15=1,'расчет RAB'!O89,'расчет индексация'!O79)</f>
        <v>37.82979596419634</v>
      </c>
      <c r="P44" s="172">
        <f>IF('основные условия'!$J$15=1,'расчет RAB'!P89,'расчет индексация'!P79)</f>
        <v>40.477881681690086</v>
      </c>
      <c r="Q44" s="172">
        <f>IF('основные условия'!$J$15=1,'расчет RAB'!Q89,'расчет индексация'!Q79)</f>
        <v>43.3113333994084</v>
      </c>
      <c r="R44" s="172">
        <f>IF('основные условия'!$J$15=1,'расчет RAB'!R89,'расчет индексация'!R79)</f>
        <v>46.343126737366994</v>
      </c>
      <c r="S44" s="172">
        <f>IF('основные условия'!$J$15=1,'расчет RAB'!S89,'расчет индексация'!S79)</f>
        <v>49.58714560898269</v>
      </c>
      <c r="T44" s="172">
        <f>IF('основные условия'!$J$15=1,'расчет RAB'!T89,'расчет индексация'!T79)</f>
        <v>53.05824580161148</v>
      </c>
      <c r="U44" s="172">
        <f>IF('основные условия'!$J$15=1,'расчет RAB'!U89,'расчет индексация'!U79)</f>
        <v>56.77232300772428</v>
      </c>
      <c r="V44" s="172">
        <f>IF('основные условия'!$J$15=1,'расчет RAB'!V89,'расчет индексация'!V79)</f>
        <v>60.74638561826498</v>
      </c>
      <c r="W44" s="172">
        <f>IF('основные условия'!$J$15=1,'расчет RAB'!W89,'расчет индексация'!W79)</f>
        <v>64.99863261154353</v>
      </c>
      <c r="X44" s="172">
        <f>IF('основные условия'!$J$15=1,'расчет RAB'!X89,'расчет индексация'!X79)</f>
        <v>69.54853689435157</v>
      </c>
      <c r="Y44" s="172">
        <f>IF('основные условия'!$J$15=1,'расчет RAB'!Y89,'расчет индексация'!Y79)</f>
        <v>74.41693447695619</v>
      </c>
      <c r="Z44" s="172">
        <f>IF('основные условия'!$J$15=1,'расчет RAB'!Z89,'расчет индексация'!Z79)</f>
        <v>79.62611989034313</v>
      </c>
      <c r="AA44" s="172">
        <f>IF('основные условия'!$J$15=1,'расчет RAB'!AA89,'расчет индексация'!AA79)</f>
        <v>85.19994828266715</v>
      </c>
      <c r="AB44" s="172">
        <f>IF('основные условия'!$J$15=1,'расчет RAB'!AB89,'расчет индексация'!AB79)</f>
        <v>91.16394466245386</v>
      </c>
      <c r="AC44" s="172">
        <f>IF('основные условия'!$J$15=1,'расчет RAB'!AC89,'расчет индексация'!AC79)</f>
        <v>97.54542078882564</v>
      </c>
      <c r="AD44" s="172">
        <f>IF('основные условия'!$J$15=1,'расчет RAB'!AD89,'расчет индексация'!AD79)</f>
        <v>104.37360024404344</v>
      </c>
      <c r="AE44" s="172">
        <f>IF('основные условия'!$J$15=1,'расчет RAB'!AE89,'расчет индексация'!AE79)</f>
        <v>111.67975226112648</v>
      </c>
      <c r="AF44" s="172">
        <f>IF('основные условия'!$J$15=1,'расчет RAB'!AF89,'расчет индексация'!AF79)</f>
        <v>119.49733491940535</v>
      </c>
    </row>
    <row r="45" spans="1:32" s="162" customFormat="1" ht="15">
      <c r="A45" s="160" t="s">
        <v>224</v>
      </c>
      <c r="B45" s="161"/>
      <c r="C45" s="172">
        <f>IF('основные условия'!$J$15=1,'расчет RAB'!C90,'расчет индексация'!C80)</f>
        <v>11</v>
      </c>
      <c r="D45" s="172">
        <f>IF('основные условия'!$J$15=1,'расчет RAB'!D90,'расчет индексация'!D80)</f>
        <v>12.154875564973919</v>
      </c>
      <c r="E45" s="172">
        <f>IF('основные условия'!$J$15=1,'расчет RAB'!E90,'расчет индексация'!E80)</f>
        <v>12.823249705125455</v>
      </c>
      <c r="F45" s="172">
        <f>IF('основные условия'!$J$15=1,'расчет RAB'!F90,'расчет индексация'!F80)</f>
        <v>13.720877184484237</v>
      </c>
      <c r="G45" s="172">
        <f>IF('основные условия'!$J$15=1,'расчет RAB'!G90,'расчет индексация'!G80)</f>
        <v>14.681338587398136</v>
      </c>
      <c r="H45" s="172">
        <f>IF('основные условия'!$J$15=1,'расчет RAB'!H90,'расчет индексация'!H80)</f>
        <v>15.709032288516005</v>
      </c>
      <c r="I45" s="172">
        <f>IF('основные условия'!$J$15=1,'расчет RAB'!I90,'расчет индексация'!I80)</f>
        <v>16.80866454871213</v>
      </c>
      <c r="J45" s="172">
        <f>IF('основные условия'!$J$15=1,'расчет RAB'!J90,'расчет индексация'!J80)</f>
        <v>17.985271067121978</v>
      </c>
      <c r="K45" s="172">
        <f>IF('основные условия'!$J$15=1,'расчет RAB'!K90,'расчет индексация'!K80)</f>
        <v>19.244240041820518</v>
      </c>
      <c r="L45" s="172">
        <f>IF('основные условия'!$J$15=1,'расчет RAB'!L90,'расчет индексация'!L80)</f>
        <v>20.591336844747957</v>
      </c>
      <c r="M45" s="172">
        <f>IF('основные условия'!$J$15=1,'расчет RAB'!M90,'расчет индексация'!M80)</f>
        <v>22.03273042388031</v>
      </c>
      <c r="N45" s="172">
        <f>IF('основные условия'!$J$15=1,'расчет RAB'!N90,'расчет индексация'!N80)</f>
        <v>23.575021553551938</v>
      </c>
      <c r="O45" s="172">
        <f>IF('основные условия'!$J$15=1,'расчет RAB'!O90,'расчет индексация'!O80)</f>
        <v>25.22527306230057</v>
      </c>
      <c r="P45" s="172">
        <f>IF('основные условия'!$J$15=1,'расчет RAB'!P90,'расчет индексация'!P80)</f>
        <v>26.99104217666161</v>
      </c>
      <c r="Q45" s="172">
        <f>IF('основные условия'!$J$15=1,'расчет RAB'!Q90,'расчет индексация'!Q80)</f>
        <v>28.88041512902793</v>
      </c>
      <c r="R45" s="172">
        <f>IF('основные условия'!$J$15=1,'расчет RAB'!R90,'расчет индексация'!R80)</f>
        <v>30.902044188059886</v>
      </c>
      <c r="S45" s="172">
        <f>IF('основные условия'!$J$15=1,'расчет RAB'!S90,'расчет индексация'!S80)</f>
        <v>33.06518728122408</v>
      </c>
      <c r="T45" s="172">
        <f>IF('основные условия'!$J$15=1,'расчет RAB'!T90,'расчет индексация'!T80)</f>
        <v>35.37975039090976</v>
      </c>
      <c r="U45" s="172">
        <f>IF('основные условия'!$J$15=1,'расчет RAB'!U90,'расчет индексация'!U80)</f>
        <v>37.85633291827345</v>
      </c>
      <c r="V45" s="172">
        <f>IF('основные условия'!$J$15=1,'расчет RAB'!V90,'расчет индексация'!V80)</f>
        <v>40.50627622255259</v>
      </c>
      <c r="W45" s="172">
        <f>IF('основные условия'!$J$15=1,'расчет RAB'!W90,'расчет индексация'!W80)</f>
        <v>43.34171555813128</v>
      </c>
      <c r="X45" s="172">
        <f>IF('основные условия'!$J$15=1,'расчет RAB'!X90,'расчет индексация'!X80)</f>
        <v>46.37563564720047</v>
      </c>
      <c r="Y45" s="172">
        <f>IF('основные условия'!$J$15=1,'расчет RAB'!Y90,'расчет индексация'!Y80)</f>
        <v>49.621930142504496</v>
      </c>
      <c r="Z45" s="172">
        <f>IF('основные условия'!$J$15=1,'расчет RAB'!Z90,'расчет индексация'!Z80)</f>
        <v>53.09546525247982</v>
      </c>
      <c r="AA45" s="172">
        <f>IF('основные условия'!$J$15=1,'расчет RAB'!AA90,'расчет индексация'!AA80)</f>
        <v>56.81214782015341</v>
      </c>
      <c r="AB45" s="172">
        <f>IF('основные условия'!$J$15=1,'расчет RAB'!AB90,'расчет индексация'!AB80)</f>
        <v>60.78899816756416</v>
      </c>
      <c r="AC45" s="172">
        <f>IF('основные условия'!$J$15=1,'расчет RAB'!AC90,'расчет индексация'!AC80)</f>
        <v>65.04422803929364</v>
      </c>
      <c r="AD45" s="172">
        <f>IF('основные условия'!$J$15=1,'расчет RAB'!AD90,'расчет индексация'!AD80)</f>
        <v>69.59732400204422</v>
      </c>
      <c r="AE45" s="172">
        <f>IF('основные условия'!$J$15=1,'расчет RAB'!AE90,'расчет индексация'!AE80)</f>
        <v>74.4691366821873</v>
      </c>
      <c r="AF45" s="172">
        <f>IF('основные условия'!$J$15=1,'расчет RAB'!AF90,'расчет индексация'!AF80)</f>
        <v>79.68197624994042</v>
      </c>
    </row>
    <row r="46" spans="1:32" s="69" customFormat="1" ht="82.5" customHeight="1">
      <c r="A46" s="102" t="s">
        <v>49</v>
      </c>
      <c r="B46" s="103">
        <f>IF('основные условия'!$J$15=1,'расчет RAB'!B91,"")</f>
        <v>0</v>
      </c>
      <c r="C46" s="103">
        <f>IF('основные условия'!$J$15=1,'расчет RAB'!C91,"")</f>
        <v>0</v>
      </c>
      <c r="D46" s="103">
        <f>IF('основные условия'!$J$15=1,'расчет RAB'!D91,"")</f>
        <v>0</v>
      </c>
      <c r="E46" s="103">
        <f>IF('основные условия'!$J$15=1,'расчет RAB'!E91,"")</f>
        <v>0</v>
      </c>
      <c r="F46" s="103">
        <f>IF('основные условия'!$J$15=1,'расчет RAB'!F91,"")</f>
        <v>0</v>
      </c>
      <c r="G46" s="103">
        <f>IF('основные условия'!$J$15=1,'расчет RAB'!G91,"")</f>
        <v>0</v>
      </c>
      <c r="H46" s="103">
        <f>IF('основные условия'!$J$15=1,'расчет RAB'!H91,"")</f>
        <v>0</v>
      </c>
      <c r="I46" s="103">
        <f>IF('основные условия'!$J$15=1,'расчет RAB'!I91,"")</f>
        <v>0</v>
      </c>
      <c r="J46" s="103">
        <f>IF('основные условия'!$J$15=1,'расчет RAB'!J91,"")</f>
        <v>0</v>
      </c>
      <c r="K46" s="103">
        <f>IF('основные условия'!$J$15=1,'расчет RAB'!K91,"")</f>
        <v>0</v>
      </c>
      <c r="L46" s="103">
        <f>IF('основные условия'!$J$15=1,'расчет RAB'!L91,"")</f>
        <v>1874.3896813804506</v>
      </c>
      <c r="M46" s="103">
        <f>IF('основные условия'!$J$15=1,'расчет RAB'!M91,"")</f>
        <v>0</v>
      </c>
      <c r="N46" s="103">
        <f>IF('основные условия'!$J$15=1,'расчет RAB'!N91,"")</f>
        <v>0</v>
      </c>
      <c r="O46" s="103">
        <f>IF('основные условия'!$J$15=1,'расчет RAB'!O91,"")</f>
        <v>0</v>
      </c>
      <c r="P46" s="103">
        <f>IF('основные условия'!$J$15=1,'расчет RAB'!P91,"")</f>
        <v>0</v>
      </c>
      <c r="Q46" s="103">
        <f>IF('основные условия'!$J$15=1,'расчет RAB'!Q91,"")</f>
        <v>0</v>
      </c>
      <c r="R46" s="103">
        <f>IF('основные условия'!$J$15=1,'расчет RAB'!R91,"")</f>
        <v>0</v>
      </c>
      <c r="S46" s="103">
        <f>IF('основные условия'!$J$15=1,'расчет RAB'!S91,"")</f>
        <v>0</v>
      </c>
      <c r="T46" s="103">
        <f>IF('основные условия'!$J$15=1,'расчет RAB'!T91,"")</f>
        <v>0</v>
      </c>
      <c r="U46" s="103">
        <f>IF('основные условия'!$J$15=1,'расчет RAB'!U91,"")</f>
        <v>0</v>
      </c>
      <c r="V46" s="103">
        <f>IF('основные условия'!$J$15=1,'расчет RAB'!V91,"")</f>
        <v>0</v>
      </c>
      <c r="W46" s="103">
        <f>IF('основные условия'!$J$15=1,'расчет RAB'!W91,"")</f>
        <v>0</v>
      </c>
      <c r="X46" s="103">
        <f>IF('основные условия'!$J$15=1,'расчет RAB'!X91,"")</f>
        <v>0</v>
      </c>
      <c r="Y46" s="103">
        <f>IF('основные условия'!$J$15=1,'расчет RAB'!Y91,"")</f>
        <v>0</v>
      </c>
      <c r="Z46" s="103">
        <f>IF('основные условия'!$J$15=1,'расчет RAB'!Z91,"")</f>
        <v>0</v>
      </c>
      <c r="AA46" s="103">
        <f>IF('основные условия'!$J$15=1,'расчет RAB'!AA91,"")</f>
        <v>0</v>
      </c>
      <c r="AB46" s="103">
        <f>IF('основные условия'!$J$15=1,'расчет RAB'!AB91,"")</f>
        <v>0</v>
      </c>
      <c r="AC46" s="103">
        <f>IF('основные условия'!$J$15=1,'расчет RAB'!AC91,"")</f>
        <v>0</v>
      </c>
      <c r="AD46" s="103">
        <f>IF('основные условия'!$J$15=1,'расчет RAB'!AD91,"")</f>
        <v>0</v>
      </c>
      <c r="AE46" s="103">
        <f>IF('основные условия'!$J$15=1,'расчет RAB'!AE91,"")</f>
        <v>0</v>
      </c>
      <c r="AF46" s="103">
        <f>IF('основные условия'!$J$15=1,'расчет RAB'!AF91,"")</f>
        <v>0</v>
      </c>
    </row>
    <row r="47" spans="1:32" s="69" customFormat="1" ht="18" customHeight="1">
      <c r="A47" s="104" t="s">
        <v>50</v>
      </c>
      <c r="B47" s="105">
        <f>IF('основные условия'!$J$15=1,'расчет RAB'!B92,'расчет индексация'!B81)</f>
        <v>0</v>
      </c>
      <c r="C47" s="105">
        <f>IF('основные условия'!$J$15=1,'расчет RAB'!C92,'расчет индексация'!C81)</f>
        <v>1749.7104991609222</v>
      </c>
      <c r="D47" s="105">
        <f>IF('основные условия'!$J$15=1,'расчет RAB'!D92,'расчет индексация'!D81)</f>
        <v>1881.0852074654915</v>
      </c>
      <c r="E47" s="105">
        <f>IF('основные условия'!$J$15=1,'расчет RAB'!E92,'расчет индексация'!E81)</f>
        <v>1892.4392123076423</v>
      </c>
      <c r="F47" s="105">
        <f>IF('основные условия'!$J$15=1,'расчет RAB'!F92,'расчет индексация'!F81)</f>
        <v>1618.3439632747977</v>
      </c>
      <c r="G47" s="105">
        <f>IF('основные условия'!$J$15=1,'расчет RAB'!G92,'расчет индексация'!G81)</f>
        <v>1565.4085634793148</v>
      </c>
      <c r="H47" s="105">
        <f>IF('основные условия'!$J$15=1,'расчет RAB'!H92,'расчет индексация'!H81)</f>
        <v>1494.895569367688</v>
      </c>
      <c r="I47" s="105">
        <f>IF('основные условия'!$J$15=1,'расчет RAB'!I92,'расчет индексация'!I81)</f>
        <v>1428.0742373469416</v>
      </c>
      <c r="J47" s="105">
        <f>IF('основные условия'!$J$15=1,'расчет RAB'!J92,'расчет индексация'!J81)</f>
        <v>1364.6796259032753</v>
      </c>
      <c r="K47" s="105">
        <f>IF('основные условия'!$J$15=1,'расчет RAB'!K92,'расчет индексация'!K81)</f>
        <v>1312.0040633829797</v>
      </c>
      <c r="L47" s="105">
        <f>IF('основные условия'!$J$15=1,'расчет RAB'!L92,'расчет индексация'!L81)</f>
        <v>2005.4614854137585</v>
      </c>
      <c r="M47" s="105">
        <f>IF('основные условия'!$J$15=1,'расчет RAB'!M92,'расчет индексация'!M81)</f>
        <v>1204.8548161745937</v>
      </c>
      <c r="N47" s="105">
        <f>IF('основные условия'!$J$15=1,'расчет RAB'!N92,'расчет индексация'!N81)</f>
        <v>1149.7346316249798</v>
      </c>
      <c r="O47" s="105">
        <f>IF('основные условия'!$J$15=1,'расчет RAB'!O92,'расчет индексация'!O81)</f>
        <v>1125.3604444328964</v>
      </c>
      <c r="P47" s="105">
        <f>IF('основные условия'!$J$15=1,'расчет RAB'!P92,'расчет индексация'!P81)</f>
        <v>1117.449154499243</v>
      </c>
      <c r="Q47" s="105">
        <f>IF('основные условия'!$J$15=1,'расчет RAB'!Q92,'расчет индексация'!Q81)</f>
        <v>1103.3727342206225</v>
      </c>
      <c r="R47" s="105">
        <f>IF('основные условия'!$J$15=1,'расчет RAB'!R92,'расчет индексация'!R81)</f>
        <v>1087.5038237160422</v>
      </c>
      <c r="S47" s="105">
        <f>IF('основные условия'!$J$15=1,'расчет RAB'!S92,'расчет индексация'!S81)</f>
        <v>1069.863623096018</v>
      </c>
      <c r="T47" s="105">
        <f>IF('основные условия'!$J$15=1,'расчет RAB'!T92,'расчет индексация'!T81)</f>
        <v>1050.5135318619898</v>
      </c>
      <c r="U47" s="105">
        <f>IF('основные условия'!$J$15=1,'расчет RAB'!U92,'расчет индексация'!U81)</f>
        <v>1030.3347617051468</v>
      </c>
      <c r="V47" s="105">
        <f>IF('основные условия'!$J$15=1,'расчет RAB'!V92,'расчет индексация'!V81)</f>
        <v>1007.8514219048892</v>
      </c>
      <c r="W47" s="105">
        <f>IF('основные условия'!$J$15=1,'расчет RAB'!W92,'расчет индексация'!W81)</f>
        <v>984.0318240366291</v>
      </c>
      <c r="X47" s="105">
        <f>IF('основные условия'!$J$15=1,'расчет RAB'!X92,'расчет индексация'!X81)</f>
        <v>958.0601511467497</v>
      </c>
      <c r="Y47" s="105">
        <f>IF('основные условия'!$J$15=1,'расчет RAB'!Y92,'расчет индексация'!Y81)</f>
        <v>929.7344038902877</v>
      </c>
      <c r="Z47" s="105">
        <f>IF('основные условия'!$J$15=1,'расчет RAB'!Z92,'расчет индексация'!Z81)</f>
        <v>901.2591463500692</v>
      </c>
      <c r="AA47" s="105">
        <f>IF('основные условия'!$J$15=1,'расчет RAB'!AA92,'расчет индексация'!AA81)</f>
        <v>874.3286621792515</v>
      </c>
      <c r="AB47" s="105">
        <f>IF('основные условия'!$J$15=1,'расчет RAB'!AB92,'расчет индексация'!AB81)</f>
        <v>852.5331541207161</v>
      </c>
      <c r="AC47" s="105">
        <f>IF('основные условия'!$J$15=1,'расчет RAB'!AC92,'расчет индексация'!AC81)</f>
        <v>833.5701305203746</v>
      </c>
      <c r="AD47" s="105">
        <f>IF('основные условия'!$J$15=1,'расчет RAB'!AD92,'расчет индексация'!AD81)</f>
        <v>813.3531261475181</v>
      </c>
      <c r="AE47" s="105">
        <f>IF('основные условия'!$J$15=1,'расчет RAB'!AE92,'расчет индексация'!AE81)</f>
        <v>792.3862361636953</v>
      </c>
      <c r="AF47" s="105">
        <f>IF('основные условия'!$J$15=1,'расчет RAB'!AF92,'расчет индексация'!AF81)</f>
        <v>773.7367549887575</v>
      </c>
    </row>
    <row r="48" spans="1:32" ht="15">
      <c r="A48" s="83" t="s">
        <v>88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</row>
    <row r="49" spans="1:32" s="69" customFormat="1" ht="15">
      <c r="A49" s="100" t="s">
        <v>48</v>
      </c>
      <c r="B49" s="101">
        <f aca="true" t="shared" si="1" ref="B49:AF49">SUM(B50:B54)</f>
        <v>500</v>
      </c>
      <c r="C49" s="101">
        <f t="shared" si="1"/>
        <v>673.8827777777778</v>
      </c>
      <c r="D49" s="101">
        <f t="shared" si="1"/>
        <v>1022.4145246621962</v>
      </c>
      <c r="E49" s="101">
        <f t="shared" si="1"/>
        <v>1444.0453993783547</v>
      </c>
      <c r="F49" s="101">
        <f t="shared" si="1"/>
        <v>1914.6048083425796</v>
      </c>
      <c r="G49" s="101">
        <f t="shared" si="1"/>
        <v>2447.646708269272</v>
      </c>
      <c r="H49" s="101">
        <f t="shared" si="1"/>
        <v>3043.586363314943</v>
      </c>
      <c r="I49" s="101">
        <f t="shared" si="1"/>
        <v>3705.3162808450015</v>
      </c>
      <c r="J49" s="101">
        <f t="shared" si="1"/>
        <v>4435.988800299724</v>
      </c>
      <c r="K49" s="101">
        <f t="shared" si="1"/>
        <v>5240.149890315701</v>
      </c>
      <c r="L49" s="101">
        <f t="shared" si="1"/>
        <v>24751.961424524183</v>
      </c>
      <c r="M49" s="101">
        <f t="shared" si="1"/>
        <v>7090.639918967193</v>
      </c>
      <c r="N49" s="101">
        <f t="shared" si="1"/>
        <v>8503.267893030128</v>
      </c>
      <c r="O49" s="101">
        <f t="shared" si="1"/>
        <v>10048.273188339232</v>
      </c>
      <c r="P49" s="101">
        <f t="shared" si="1"/>
        <v>11730.088330755862</v>
      </c>
      <c r="Q49" s="101">
        <f t="shared" si="1"/>
        <v>13552.939323414801</v>
      </c>
      <c r="R49" s="101">
        <f t="shared" si="1"/>
        <v>15526.218194597264</v>
      </c>
      <c r="S49" s="101">
        <f t="shared" si="1"/>
        <v>17658.536947688714</v>
      </c>
      <c r="T49" s="101">
        <f t="shared" si="1"/>
        <v>19959.192528344433</v>
      </c>
      <c r="U49" s="101">
        <f t="shared" si="1"/>
        <v>22440.47119883994</v>
      </c>
      <c r="V49" s="101">
        <f t="shared" si="1"/>
        <v>25108.975560330135</v>
      </c>
      <c r="W49" s="101">
        <f t="shared" si="1"/>
        <v>27978.507455304265</v>
      </c>
      <c r="X49" s="101">
        <f t="shared" si="1"/>
        <v>30979.341461065298</v>
      </c>
      <c r="Y49" s="101">
        <f t="shared" si="1"/>
        <v>34230.033671315505</v>
      </c>
      <c r="Z49" s="101">
        <f t="shared" si="1"/>
        <v>37761.95287826335</v>
      </c>
      <c r="AA49" s="101">
        <f t="shared" si="1"/>
        <v>41588.77897403999</v>
      </c>
      <c r="AB49" s="101">
        <f t="shared" si="1"/>
        <v>45736.995119896805</v>
      </c>
      <c r="AC49" s="101">
        <f t="shared" si="1"/>
        <v>50232.32351680128</v>
      </c>
      <c r="AD49" s="101">
        <f t="shared" si="1"/>
        <v>55102.55008053929</v>
      </c>
      <c r="AE49" s="101">
        <f t="shared" si="1"/>
        <v>60382.13147007861</v>
      </c>
      <c r="AF49" s="101">
        <f t="shared" si="1"/>
        <v>66095.22561998582</v>
      </c>
    </row>
    <row r="50" spans="1:32" s="69" customFormat="1" ht="15">
      <c r="A50" s="102" t="s">
        <v>47</v>
      </c>
      <c r="B50" s="103">
        <f>IF('основные условия'!$J$15=1,'расчет RAB'!B169,'расчет индексация'!B146)</f>
        <v>500</v>
      </c>
      <c r="C50" s="103">
        <f>IF('основные условия'!$J$15=1,'расчет RAB'!C169,'расчет индексация'!C146)</f>
        <v>581.4827777777779</v>
      </c>
      <c r="D50" s="103">
        <f>IF('основные условия'!$J$15=1,'расчет RAB'!D169,'расчет индексация'!D146)</f>
        <v>936.2596490972222</v>
      </c>
      <c r="E50" s="103">
        <f>IF('основные условия'!$J$15=1,'расчет RAB'!E169,'расчет индексация'!E146)</f>
        <v>1357.2221496732293</v>
      </c>
      <c r="F50" s="103">
        <f>IF('основные условия'!$J$15=1,'расчет RAB'!F169,'расчет индексация'!F146)</f>
        <v>1826.8839311580955</v>
      </c>
      <c r="G50" s="103">
        <f>IF('основные условия'!$J$15=1,'расчет RAB'!G169,'расчет индексация'!G146)</f>
        <v>2358.965369681874</v>
      </c>
      <c r="H50" s="103">
        <f>IF('основные условия'!$J$15=1,'расчет RAB'!H169,'расчет индексация'!H146)</f>
        <v>2953.877331026427</v>
      </c>
      <c r="I50" s="103">
        <f>IF('основные условия'!$J$15=1,'расчет RAB'!I169,'расчет индексация'!I146)</f>
        <v>3614.5076162962896</v>
      </c>
      <c r="J50" s="103">
        <f>IF('основные условия'!$J$15=1,'расчет RAB'!J169,'расчет индексация'!J146)</f>
        <v>4344.003529232602</v>
      </c>
      <c r="K50" s="103">
        <f>IF('основные условия'!$J$15=1,'расчет RAB'!K169,'расчет индексация'!K146)</f>
        <v>5146.90565027388</v>
      </c>
      <c r="L50" s="103">
        <f>IF('основные условия'!$J$15=1,'расчет RAB'!L169,'расчет индексация'!L146)</f>
        <v>6024.721566127306</v>
      </c>
      <c r="M50" s="103">
        <f>IF('основные условия'!$J$15=1,'расчет RAB'!M169,'расчет индексация'!M146)</f>
        <v>6994.607188543313</v>
      </c>
      <c r="N50" s="103">
        <f>IF('основные условия'!$J$15=1,'расчет RAB'!N169,'расчет индексация'!N146)</f>
        <v>8405.692871476576</v>
      </c>
      <c r="O50" s="103">
        <f>IF('основные условия'!$J$15=1,'расчет RAB'!O169,'расчет индексация'!O146)</f>
        <v>9949.047915276931</v>
      </c>
      <c r="P50" s="103">
        <f>IF('основные условия'!$J$15=1,'расчет RAB'!P169,'расчет индексация'!P146)</f>
        <v>11629.0972885792</v>
      </c>
      <c r="Q50" s="103">
        <f>IF('основные условия'!$J$15=1,'расчет RAB'!Q169,'расчет индексация'!Q146)</f>
        <v>13450.058908285773</v>
      </c>
      <c r="R50" s="103">
        <f>IF('основные условия'!$J$15=1,'расчет RAB'!R169,'расчет индексация'!R146)</f>
        <v>15421.316150409204</v>
      </c>
      <c r="S50" s="103">
        <f>IF('основные условия'!$J$15=1,'расчет RAB'!S169,'расчет индексация'!S146)</f>
        <v>17551.47176040749</v>
      </c>
      <c r="T50" s="103">
        <f>IF('основные условия'!$J$15=1,'расчет RAB'!T169,'расчет индексация'!T146)</f>
        <v>19849.812777953524</v>
      </c>
      <c r="U50" s="103">
        <f>IF('основные условия'!$J$15=1,'расчет RAB'!U169,'расчет индексация'!U146)</f>
        <v>22328.614865921667</v>
      </c>
      <c r="V50" s="103">
        <f>IF('основные условия'!$J$15=1,'расчет RAB'!V169,'расчет индексация'!V146)</f>
        <v>24994.46928410758</v>
      </c>
      <c r="W50" s="103">
        <f>IF('основные условия'!$J$15=1,'расчет RAB'!W169,'расчет индексация'!W146)</f>
        <v>27861.165739746135</v>
      </c>
      <c r="X50" s="103">
        <f>IF('основные условия'!$J$15=1,'расчет RAB'!X169,'расчет индексация'!X146)</f>
        <v>30858.965825418098</v>
      </c>
      <c r="Y50" s="103">
        <f>IF('основные условия'!$J$15=1,'расчет RAB'!Y169,'расчет индексация'!Y146)</f>
        <v>34106.411741173</v>
      </c>
      <c r="Z50" s="103">
        <f>IF('основные условия'!$J$15=1,'расчет RAB'!Z169,'расчет индексация'!Z146)</f>
        <v>37634.85741301087</v>
      </c>
      <c r="AA50" s="103">
        <f>IF('основные условия'!$J$15=1,'расчет RAB'!AA169,'расчет индексация'!AA146)</f>
        <v>41457.96682621984</v>
      </c>
      <c r="AB50" s="103">
        <f>IF('основные условия'!$J$15=1,'расчет RAB'!AB169,'расчет индексация'!AB146)</f>
        <v>45602.20612172924</v>
      </c>
      <c r="AC50" s="103">
        <f>IF('основные условия'!$J$15=1,'расчет RAB'!AC169,'расчет индексация'!AC146)</f>
        <v>50093.27928876199</v>
      </c>
      <c r="AD50" s="103">
        <f>IF('основные условия'!$J$15=1,'расчет RAB'!AD169,'расчет индексация'!AD146)</f>
        <v>54958.95275653724</v>
      </c>
      <c r="AE50" s="103">
        <f>IF('основные условия'!$J$15=1,'расчет RAB'!AE169,'расчет индексация'!AE146)</f>
        <v>60233.66233339642</v>
      </c>
      <c r="AF50" s="103">
        <f>IF('основные условия'!$J$15=1,'расчет RAB'!AF169,'расчет индексация'!AF146)</f>
        <v>65941.54364373589</v>
      </c>
    </row>
    <row r="51" spans="1:32" s="69" customFormat="1" ht="76.5" customHeight="1">
      <c r="A51" s="19" t="s">
        <v>228</v>
      </c>
      <c r="B51" s="103">
        <f>IF('основные условия'!$J$15=1,'расчет RAB'!B177,'расчет индексация'!B154)</f>
        <v>0</v>
      </c>
      <c r="C51" s="103">
        <f>IF('основные условия'!$J$15=1,'расчет RAB'!C177,'расчет индексация'!C154)</f>
        <v>0</v>
      </c>
      <c r="D51" s="103">
        <f>IF('основные условия'!$J$15=1,'расчет RAB'!D177,'расчет индексация'!D154)</f>
        <v>0</v>
      </c>
      <c r="E51" s="103">
        <f>IF('основные условия'!$J$15=1,'расчет RAB'!E177,'расчет индексация'!E154)</f>
        <v>0</v>
      </c>
      <c r="F51" s="103">
        <f>IF('основные условия'!$J$15=1,'расчет RAB'!F177,'расчет индексация'!F154)</f>
        <v>0</v>
      </c>
      <c r="G51" s="103">
        <f>IF('основные условия'!$J$15=1,'расчет RAB'!G177,'расчет индексация'!G154)</f>
        <v>0</v>
      </c>
      <c r="H51" s="103">
        <f>IF('основные условия'!$J$15=1,'расчет RAB'!H177,'расчет индексация'!H154)</f>
        <v>0</v>
      </c>
      <c r="I51" s="103">
        <f>IF('основные условия'!$J$15=1,'расчет RAB'!I177,'расчет индексация'!I154)</f>
        <v>0</v>
      </c>
      <c r="J51" s="103">
        <f>IF('основные условия'!$J$15=1,'расчет RAB'!J177,'расчет индексация'!J154)</f>
        <v>0</v>
      </c>
      <c r="K51" s="103">
        <f>IF('основные условия'!$J$15=1,'расчет RAB'!K177,'расчет индексация'!K154)</f>
        <v>0</v>
      </c>
      <c r="L51" s="103">
        <f>IF('основные условия'!$J$15=1,'расчет RAB'!L177,'расчет индексация'!L154)</f>
        <v>0</v>
      </c>
      <c r="M51" s="103">
        <f>IF('основные условия'!$J$15=1,'расчет RAB'!M177,'расчет индексация'!M154)</f>
        <v>0</v>
      </c>
      <c r="N51" s="103">
        <f>IF('основные условия'!$J$15=1,'расчет RAB'!N177,'расчет индексация'!N154)</f>
        <v>0</v>
      </c>
      <c r="O51" s="103">
        <f>IF('основные условия'!$J$15=1,'расчет RAB'!O177,'расчет индексация'!O154)</f>
        <v>0</v>
      </c>
      <c r="P51" s="103">
        <f>IF('основные условия'!$J$15=1,'расчет RAB'!P177,'расчет индексация'!P154)</f>
        <v>0</v>
      </c>
      <c r="Q51" s="103">
        <f>IF('основные условия'!$J$15=1,'расчет RAB'!Q177,'расчет индексация'!Q154)</f>
        <v>0</v>
      </c>
      <c r="R51" s="103">
        <f>IF('основные условия'!$J$15=1,'расчет RAB'!R177,'расчет индексация'!R154)</f>
        <v>0</v>
      </c>
      <c r="S51" s="103">
        <f>IF('основные условия'!$J$15=1,'расчет RAB'!S177,'расчет индексация'!S154)</f>
        <v>0</v>
      </c>
      <c r="T51" s="103">
        <f>IF('основные условия'!$J$15=1,'расчет RAB'!T177,'расчет индексация'!T154)</f>
        <v>0</v>
      </c>
      <c r="U51" s="103">
        <f>IF('основные условия'!$J$15=1,'расчет RAB'!U177,'расчет индексация'!U154)</f>
        <v>0</v>
      </c>
      <c r="V51" s="103">
        <f>IF('основные условия'!$J$15=1,'расчет RAB'!V177,'расчет индексация'!V154)</f>
        <v>0</v>
      </c>
      <c r="W51" s="103">
        <f>IF('основные условия'!$J$15=1,'расчет RAB'!W177,'расчет индексация'!W154)</f>
        <v>0</v>
      </c>
      <c r="X51" s="103">
        <f>IF('основные условия'!$J$15=1,'расчет RAB'!X177,'расчет индексация'!X154)</f>
        <v>0</v>
      </c>
      <c r="Y51" s="103">
        <f>IF('основные условия'!$J$15=1,'расчет RAB'!Y177,'расчет индексация'!Y154)</f>
        <v>0</v>
      </c>
      <c r="Z51" s="103">
        <f>IF('основные условия'!$J$15=1,'расчет RAB'!Z177,'расчет индексация'!Z154)</f>
        <v>0</v>
      </c>
      <c r="AA51" s="103">
        <f>IF('основные условия'!$J$15=1,'расчет RAB'!AA177,'расчет индексация'!AA154)</f>
        <v>0</v>
      </c>
      <c r="AB51" s="103">
        <f>IF('основные условия'!$J$15=1,'расчет RAB'!AB177,'расчет индексация'!AB154)</f>
        <v>0</v>
      </c>
      <c r="AC51" s="103">
        <f>IF('основные условия'!$J$15=1,'расчет RAB'!AC177,'расчет индексация'!AC154)</f>
        <v>0</v>
      </c>
      <c r="AD51" s="103">
        <f>IF('основные условия'!$J$15=1,'расчет RAB'!AD177,'расчет индексация'!AD154)</f>
        <v>0</v>
      </c>
      <c r="AE51" s="103">
        <f>IF('основные условия'!$J$15=1,'расчет RAB'!AE177,'расчет индексация'!AE154)</f>
        <v>0</v>
      </c>
      <c r="AF51" s="103">
        <f>IF('основные условия'!$J$15=1,'расчет RAB'!AF177,'расчет индексация'!AF154)</f>
        <v>0</v>
      </c>
    </row>
    <row r="52" spans="1:32" s="162" customFormat="1" ht="60">
      <c r="A52" s="160" t="s">
        <v>229</v>
      </c>
      <c r="B52" s="161"/>
      <c r="C52" s="172">
        <f>IF('основные условия'!$J$15=1,'расчет RAB'!C178,'расчет индексация'!C155)</f>
        <v>81.4</v>
      </c>
      <c r="D52" s="172">
        <f>IF('основные условия'!$J$15=1,'расчет RAB'!D178,'расчет индексация'!D155)</f>
        <v>74</v>
      </c>
      <c r="E52" s="172">
        <f>IF('основные условия'!$J$15=1,'расчет RAB'!E178,'расчет индексация'!E155)</f>
        <v>74</v>
      </c>
      <c r="F52" s="172">
        <f>IF('основные условия'!$J$15=1,'расчет RAB'!F178,'расчет индексация'!F155)</f>
        <v>74</v>
      </c>
      <c r="G52" s="172">
        <f>IF('основные условия'!$J$15=1,'расчет RAB'!G178,'расчет индексация'!G155)</f>
        <v>74</v>
      </c>
      <c r="H52" s="172">
        <f>IF('основные условия'!$J$15=1,'расчет RAB'!H178,'расчет индексация'!H155)</f>
        <v>74</v>
      </c>
      <c r="I52" s="172">
        <f>IF('основные условия'!$J$15=1,'расчет RAB'!I178,'расчет индексация'!I155)</f>
        <v>74</v>
      </c>
      <c r="J52" s="172">
        <f>IF('основные условия'!$J$15=1,'расчет RAB'!J178,'расчет индексация'!J155)</f>
        <v>74</v>
      </c>
      <c r="K52" s="172">
        <f>IF('основные условия'!$J$15=1,'расчет RAB'!K178,'расчет индексация'!K155)</f>
        <v>74</v>
      </c>
      <c r="L52" s="172">
        <f>IF('основные условия'!$J$15=1,'расчет RAB'!L178,'расчет индексация'!L155)</f>
        <v>74</v>
      </c>
      <c r="M52" s="172">
        <f>IF('основные условия'!$J$15=1,'расчет RAB'!M178,'расчет индексация'!M155)</f>
        <v>74</v>
      </c>
      <c r="N52" s="172">
        <f>IF('основные условия'!$J$15=1,'расчет RAB'!N178,'расчет индексация'!N155)</f>
        <v>74</v>
      </c>
      <c r="O52" s="172">
        <f>IF('основные условия'!$J$15=1,'расчет RAB'!O178,'расчет индексация'!O155)</f>
        <v>74</v>
      </c>
      <c r="P52" s="172">
        <f>IF('основные условия'!$J$15=1,'расчет RAB'!P178,'расчет индексация'!P155)</f>
        <v>74</v>
      </c>
      <c r="Q52" s="172">
        <f>IF('основные условия'!$J$15=1,'расчет RAB'!Q178,'расчет индексация'!Q155)</f>
        <v>74</v>
      </c>
      <c r="R52" s="172">
        <f>IF('основные условия'!$J$15=1,'расчет RAB'!R178,'расчет индексация'!R155)</f>
        <v>74</v>
      </c>
      <c r="S52" s="172">
        <f>IF('основные условия'!$J$15=1,'расчет RAB'!S178,'расчет индексация'!S155)</f>
        <v>74</v>
      </c>
      <c r="T52" s="172">
        <f>IF('основные условия'!$J$15=1,'расчет RAB'!T178,'расчет индексация'!T155)</f>
        <v>74</v>
      </c>
      <c r="U52" s="172">
        <f>IF('основные условия'!$J$15=1,'расчет RAB'!U178,'расчет индексация'!U155)</f>
        <v>74</v>
      </c>
      <c r="V52" s="172">
        <f>IF('основные условия'!$J$15=1,'расчет RAB'!V178,'расчет индексация'!V155)</f>
        <v>74</v>
      </c>
      <c r="W52" s="172">
        <f>IF('основные условия'!$J$15=1,'расчет RAB'!W178,'расчет индексация'!W155)</f>
        <v>74</v>
      </c>
      <c r="X52" s="172">
        <f>IF('основные условия'!$J$15=1,'расчет RAB'!X178,'расчет индексация'!X155)</f>
        <v>74</v>
      </c>
      <c r="Y52" s="172">
        <f>IF('основные условия'!$J$15=1,'расчет RAB'!Y178,'расчет индексация'!Y155)</f>
        <v>74</v>
      </c>
      <c r="Z52" s="172">
        <f>IF('основные условия'!$J$15=1,'расчет RAB'!Z178,'расчет индексация'!Z155)</f>
        <v>74</v>
      </c>
      <c r="AA52" s="172">
        <f>IF('основные условия'!$J$15=1,'расчет RAB'!AA178,'расчет индексация'!AA155)</f>
        <v>74</v>
      </c>
      <c r="AB52" s="172">
        <f>IF('основные условия'!$J$15=1,'расчет RAB'!AB178,'расчет индексация'!AB155)</f>
        <v>74</v>
      </c>
      <c r="AC52" s="172">
        <f>IF('основные условия'!$J$15=1,'расчет RAB'!AC178,'расчет индексация'!AC155)</f>
        <v>74</v>
      </c>
      <c r="AD52" s="172">
        <f>IF('основные условия'!$J$15=1,'расчет RAB'!AD178,'расчет индексация'!AD155)</f>
        <v>74</v>
      </c>
      <c r="AE52" s="172">
        <f>IF('основные условия'!$J$15=1,'расчет RAB'!AE178,'расчет индексация'!AE155)</f>
        <v>74</v>
      </c>
      <c r="AF52" s="172">
        <f>IF('основные условия'!$J$15=1,'расчет RAB'!AF178,'расчет индексация'!AF155)</f>
        <v>74</v>
      </c>
    </row>
    <row r="53" spans="1:32" s="162" customFormat="1" ht="15">
      <c r="A53" s="160" t="s">
        <v>224</v>
      </c>
      <c r="B53" s="161"/>
      <c r="C53" s="172">
        <f>IF('основные условия'!$J$15=1,'расчет RAB'!C179,'расчет индексация'!C156)</f>
        <v>11</v>
      </c>
      <c r="D53" s="172">
        <f>IF('основные условия'!$J$15=1,'расчет RAB'!D179,'расчет индексация'!D156)</f>
        <v>12.154875564973919</v>
      </c>
      <c r="E53" s="172">
        <f>IF('основные условия'!$J$15=1,'расчет RAB'!E179,'расчет индексация'!E156)</f>
        <v>12.823249705125455</v>
      </c>
      <c r="F53" s="172">
        <f>IF('основные условия'!$J$15=1,'расчет RAB'!F179,'расчет индексация'!F156)</f>
        <v>13.720877184484237</v>
      </c>
      <c r="G53" s="172">
        <f>IF('основные условия'!$J$15=1,'расчет RAB'!G179,'расчет индексация'!G156)</f>
        <v>14.681338587398136</v>
      </c>
      <c r="H53" s="172">
        <f>IF('основные условия'!$J$15=1,'расчет RAB'!H179,'расчет индексация'!H156)</f>
        <v>15.709032288516005</v>
      </c>
      <c r="I53" s="172">
        <f>IF('основные условия'!$J$15=1,'расчет RAB'!I179,'расчет индексация'!I156)</f>
        <v>16.80866454871213</v>
      </c>
      <c r="J53" s="172">
        <f>IF('основные условия'!$J$15=1,'расчет RAB'!J179,'расчет индексация'!J156)</f>
        <v>17.985271067121978</v>
      </c>
      <c r="K53" s="172">
        <f>IF('основные условия'!$J$15=1,'расчет RAB'!K179,'расчет индексация'!K156)</f>
        <v>19.244240041820518</v>
      </c>
      <c r="L53" s="172">
        <f>IF('основные условия'!$J$15=1,'расчет RAB'!L179,'расчет индексация'!L156)</f>
        <v>20.591336844747957</v>
      </c>
      <c r="M53" s="172">
        <f>IF('основные условия'!$J$15=1,'расчет RAB'!M179,'расчет индексация'!M156)</f>
        <v>22.03273042388031</v>
      </c>
      <c r="N53" s="172">
        <f>IF('основные условия'!$J$15=1,'расчет RAB'!N179,'расчет индексация'!N156)</f>
        <v>23.575021553551938</v>
      </c>
      <c r="O53" s="172">
        <f>IF('основные условия'!$J$15=1,'расчет RAB'!O179,'расчет индексация'!O156)</f>
        <v>25.22527306230057</v>
      </c>
      <c r="P53" s="172">
        <f>IF('основные условия'!$J$15=1,'расчет RAB'!P179,'расчет индексация'!P156)</f>
        <v>26.99104217666161</v>
      </c>
      <c r="Q53" s="172">
        <f>IF('основные условия'!$J$15=1,'расчет RAB'!Q179,'расчет индексация'!Q156)</f>
        <v>28.88041512902793</v>
      </c>
      <c r="R53" s="172">
        <f>IF('основные условия'!$J$15=1,'расчет RAB'!R179,'расчет индексация'!R156)</f>
        <v>30.902044188059886</v>
      </c>
      <c r="S53" s="172">
        <f>IF('основные условия'!$J$15=1,'расчет RAB'!S179,'расчет индексация'!S156)</f>
        <v>33.06518728122408</v>
      </c>
      <c r="T53" s="172">
        <f>IF('основные условия'!$J$15=1,'расчет RAB'!T179,'расчет индексация'!T156)</f>
        <v>35.37975039090976</v>
      </c>
      <c r="U53" s="172">
        <f>IF('основные условия'!$J$15=1,'расчет RAB'!U179,'расчет индексация'!U156)</f>
        <v>37.85633291827345</v>
      </c>
      <c r="V53" s="172">
        <f>IF('основные условия'!$J$15=1,'расчет RAB'!V179,'расчет индексация'!V156)</f>
        <v>40.50627622255259</v>
      </c>
      <c r="W53" s="172">
        <f>IF('основные условия'!$J$15=1,'расчет RAB'!W179,'расчет индексация'!W156)</f>
        <v>43.34171555813128</v>
      </c>
      <c r="X53" s="172">
        <f>IF('основные условия'!$J$15=1,'расчет RAB'!X179,'расчет индексация'!X156)</f>
        <v>46.37563564720047</v>
      </c>
      <c r="Y53" s="172">
        <f>IF('основные условия'!$J$15=1,'расчет RAB'!Y179,'расчет индексация'!Y156)</f>
        <v>49.621930142504496</v>
      </c>
      <c r="Z53" s="172">
        <f>IF('основные условия'!$J$15=1,'расчет RAB'!Z179,'расчет индексация'!Z156)</f>
        <v>53.09546525247982</v>
      </c>
      <c r="AA53" s="172">
        <f>IF('основные условия'!$J$15=1,'расчет RAB'!AA179,'расчет индексация'!AA156)</f>
        <v>56.81214782015341</v>
      </c>
      <c r="AB53" s="172">
        <f>IF('основные условия'!$J$15=1,'расчет RAB'!AB179,'расчет индексация'!AB156)</f>
        <v>60.78899816756416</v>
      </c>
      <c r="AC53" s="172">
        <f>IF('основные условия'!$J$15=1,'расчет RAB'!AC179,'расчет индексация'!AC156)</f>
        <v>65.04422803929364</v>
      </c>
      <c r="AD53" s="172">
        <f>IF('основные условия'!$J$15=1,'расчет RAB'!AD179,'расчет индексация'!AD156)</f>
        <v>69.59732400204422</v>
      </c>
      <c r="AE53" s="172">
        <f>IF('основные условия'!$J$15=1,'расчет RAB'!AE179,'расчет индексация'!AE156)</f>
        <v>74.4691366821873</v>
      </c>
      <c r="AF53" s="172">
        <f>IF('основные условия'!$J$15=1,'расчет RAB'!AF179,'расчет индексация'!AF156)</f>
        <v>79.68197624994042</v>
      </c>
    </row>
    <row r="54" spans="1:32" s="69" customFormat="1" ht="82.5" customHeight="1">
      <c r="A54" s="102" t="s">
        <v>49</v>
      </c>
      <c r="B54" s="103">
        <f>IF('основные условия'!$J$15=1,'расчет RAB'!B180,"")</f>
        <v>0</v>
      </c>
      <c r="C54" s="103">
        <f>IF('основные условия'!$J$15=1,'расчет RAB'!C180,"")</f>
        <v>0</v>
      </c>
      <c r="D54" s="103">
        <f>IF('основные условия'!$J$15=1,'расчет RAB'!D180,"")</f>
        <v>0</v>
      </c>
      <c r="E54" s="103">
        <f>IF('основные условия'!$J$15=1,'расчет RAB'!E180,"")</f>
        <v>0</v>
      </c>
      <c r="F54" s="103">
        <f>IF('основные условия'!$J$15=1,'расчет RAB'!F180,"")</f>
        <v>0</v>
      </c>
      <c r="G54" s="103">
        <f>IF('основные условия'!$J$15=1,'расчет RAB'!G180,"")</f>
        <v>0</v>
      </c>
      <c r="H54" s="103">
        <f>IF('основные условия'!$J$15=1,'расчет RAB'!H180,"")</f>
        <v>0</v>
      </c>
      <c r="I54" s="103">
        <f>IF('основные условия'!$J$15=1,'расчет RAB'!I180,"")</f>
        <v>0</v>
      </c>
      <c r="J54" s="103">
        <f>IF('основные условия'!$J$15=1,'расчет RAB'!J180,"")</f>
        <v>0</v>
      </c>
      <c r="K54" s="103">
        <f>IF('основные условия'!$J$15=1,'расчет RAB'!K180,"")</f>
        <v>0</v>
      </c>
      <c r="L54" s="103">
        <f>IF('основные условия'!$J$15=1,'расчет RAB'!L180,"")</f>
        <v>18632.648521552128</v>
      </c>
      <c r="M54" s="103">
        <f>IF('основные условия'!$J$15=1,'расчет RAB'!M180,"")</f>
        <v>0</v>
      </c>
      <c r="N54" s="103">
        <f>IF('основные условия'!$J$15=1,'расчет RAB'!N180,"")</f>
        <v>0</v>
      </c>
      <c r="O54" s="103">
        <f>IF('основные условия'!$J$15=1,'расчет RAB'!O180,"")</f>
        <v>0</v>
      </c>
      <c r="P54" s="103">
        <f>IF('основные условия'!$J$15=1,'расчет RAB'!P180,"")</f>
        <v>0</v>
      </c>
      <c r="Q54" s="103">
        <f>IF('основные условия'!$J$15=1,'расчет RAB'!Q180,"")</f>
        <v>0</v>
      </c>
      <c r="R54" s="103">
        <f>IF('основные условия'!$J$15=1,'расчет RAB'!R180,"")</f>
        <v>0</v>
      </c>
      <c r="S54" s="103">
        <f>IF('основные условия'!$J$15=1,'расчет RAB'!S180,"")</f>
        <v>0</v>
      </c>
      <c r="T54" s="103">
        <f>IF('основные условия'!$J$15=1,'расчет RAB'!T180,"")</f>
        <v>0</v>
      </c>
      <c r="U54" s="103">
        <f>IF('основные условия'!$J$15=1,'расчет RAB'!U180,"")</f>
        <v>0</v>
      </c>
      <c r="V54" s="103">
        <f>IF('основные условия'!$J$15=1,'расчет RAB'!V180,"")</f>
        <v>0</v>
      </c>
      <c r="W54" s="103">
        <f>IF('основные условия'!$J$15=1,'расчет RAB'!W180,"")</f>
        <v>0</v>
      </c>
      <c r="X54" s="103">
        <f>IF('основные условия'!$J$15=1,'расчет RAB'!X180,"")</f>
        <v>0</v>
      </c>
      <c r="Y54" s="103">
        <f>IF('основные условия'!$J$15=1,'расчет RAB'!Y180,"")</f>
        <v>0</v>
      </c>
      <c r="Z54" s="103">
        <f>IF('основные условия'!$J$15=1,'расчет RAB'!Z180,"")</f>
        <v>0</v>
      </c>
      <c r="AA54" s="103">
        <f>IF('основные условия'!$J$15=1,'расчет RAB'!AA180,"")</f>
        <v>0</v>
      </c>
      <c r="AB54" s="103">
        <f>IF('основные условия'!$J$15=1,'расчет RAB'!AB180,"")</f>
        <v>0</v>
      </c>
      <c r="AC54" s="103">
        <f>IF('основные условия'!$J$15=1,'расчет RAB'!AC180,"")</f>
        <v>0</v>
      </c>
      <c r="AD54" s="103">
        <f>IF('основные условия'!$J$15=1,'расчет RAB'!AD180,"")</f>
        <v>0</v>
      </c>
      <c r="AE54" s="103">
        <f>IF('основные условия'!$J$15=1,'расчет RAB'!AE180,"")</f>
        <v>0</v>
      </c>
      <c r="AF54" s="103">
        <f>IF('основные условия'!$J$15=1,'расчет RAB'!AF180,"")</f>
        <v>0</v>
      </c>
    </row>
    <row r="55" spans="1:32" s="69" customFormat="1" ht="30">
      <c r="A55" s="104" t="s">
        <v>50</v>
      </c>
      <c r="B55" s="105">
        <f>IF('основные условия'!$J$15=1,'расчет RAB'!B181,'расчет индексация'!B157)</f>
        <v>0</v>
      </c>
      <c r="C55" s="105">
        <f>IF('основные условия'!$J$15=1,'расчет RAB'!C181,'расчет индексация'!C157)</f>
        <v>673.8827777777778</v>
      </c>
      <c r="D55" s="105">
        <f>IF('основные условия'!$J$15=1,'расчет RAB'!D181,'расчет индексация'!D157)</f>
        <v>923.5903565150824</v>
      </c>
      <c r="E55" s="105">
        <f>IF('основные условия'!$J$15=1,'расчет RAB'!E181,'расчет индексация'!E157)</f>
        <v>1178.380658336948</v>
      </c>
      <c r="F55" s="105">
        <f>IF('основные условия'!$J$15=1,'расчет RAB'!F181,'расчет индексация'!F157)</f>
        <v>1411.3550535130553</v>
      </c>
      <c r="G55" s="105">
        <f>IF('основные условия'!$J$15=1,'расчет RAB'!G181,'расчет индексация'!G157)</f>
        <v>1629.8898254922585</v>
      </c>
      <c r="H55" s="105">
        <f>IF('основные условия'!$J$15=1,'расчет RAB'!H181,'расчет индексация'!H157)</f>
        <v>1830.8279133850203</v>
      </c>
      <c r="I55" s="105">
        <f>IF('основные условия'!$J$15=1,'расчет RAB'!I181,'расчет индексация'!I157)</f>
        <v>2013.4440202154744</v>
      </c>
      <c r="J55" s="105">
        <f>IF('основные условия'!$J$15=1,'расчет RAB'!J181,'расчет индексация'!J157)</f>
        <v>2177.494641016578</v>
      </c>
      <c r="K55" s="105">
        <f>IF('основные условия'!$J$15=1,'расчет RAB'!K181,'расчет индексация'!K157)</f>
        <v>2323.607356523846</v>
      </c>
      <c r="L55" s="105">
        <f>IF('основные условия'!$J$15=1,'расчет RAB'!L181,'расчет индексация'!L157)</f>
        <v>9914.73318935449</v>
      </c>
      <c r="M55" s="105">
        <f>IF('основные условия'!$J$15=1,'расчет RAB'!M181,'расчет индексация'!M157)</f>
        <v>2565.71978132963</v>
      </c>
      <c r="N55" s="105">
        <f>IF('основные условия'!$J$15=1,'расчет RAB'!N181,'расчет индексация'!N157)</f>
        <v>2779.47026287752</v>
      </c>
      <c r="O55" s="105">
        <f>IF('основные условия'!$J$15=1,'расчет RAB'!O181,'расчет индексация'!O157)</f>
        <v>2967.016649840464</v>
      </c>
      <c r="P55" s="105">
        <f>IF('основные условия'!$J$15=1,'расчет RAB'!P181,'расчет индексация'!P157)</f>
        <v>3128.83175767542</v>
      </c>
      <c r="Q55" s="105">
        <f>IF('основные условия'!$J$15=1,'расчет RAB'!Q181,'расчет индексация'!Q157)</f>
        <v>3265.6286812175904</v>
      </c>
      <c r="R55" s="105">
        <f>IF('основные условия'!$J$15=1,'расчет RAB'!R181,'расчет индексация'!R157)</f>
        <v>3379.491605082861</v>
      </c>
      <c r="S55" s="105">
        <f>IF('основные условия'!$J$15=1,'расчет RAB'!S181,'расчет индексация'!S157)</f>
        <v>3472.1044732795767</v>
      </c>
      <c r="T55" s="105">
        <f>IF('основные условия'!$J$15=1,'расчет RAB'!T181,'расчет индексация'!T157)</f>
        <v>3545.1401800075582</v>
      </c>
      <c r="U55" s="105">
        <f>IF('основные условия'!$J$15=1,'расчет RAB'!U181,'расчет индексация'!U157)</f>
        <v>3600.599327701172</v>
      </c>
      <c r="V55" s="105">
        <f>IF('основные условия'!$J$15=1,'расчет RAB'!V181,'расчет индексация'!V157)</f>
        <v>3639.353126873243</v>
      </c>
      <c r="W55" s="105">
        <f>IF('основные условия'!$J$15=1,'расчет RAB'!W181,'расчет индексация'!W157)</f>
        <v>3663.296957592319</v>
      </c>
      <c r="X55" s="105">
        <f>IF('основные условия'!$J$15=1,'расчет RAB'!X181,'расчет индексация'!X157)</f>
        <v>3664.140710520118</v>
      </c>
      <c r="Y55" s="105">
        <f>IF('основные условия'!$J$15=1,'расчет RAB'!Y181,'расчет индексация'!Y157)</f>
        <v>3657.2922610884393</v>
      </c>
      <c r="Z55" s="105">
        <f>IF('основные условия'!$J$15=1,'расчет RAB'!Z181,'расчет индексация'!Z157)</f>
        <v>3644.6780037848507</v>
      </c>
      <c r="AA55" s="105">
        <f>IF('основные условия'!$J$15=1,'расчет RAB'!AA181,'расчет индексация'!AA157)</f>
        <v>3626.0456621873227</v>
      </c>
      <c r="AB55" s="105">
        <f>IF('основные условия'!$J$15=1,'расчет RAB'!AB181,'расчет индексация'!AB157)</f>
        <v>3602.277010651804</v>
      </c>
      <c r="AC55" s="105">
        <f>IF('основные условия'!$J$15=1,'расчет RAB'!AC181,'расчет индексация'!AC157)</f>
        <v>3573.9224472471697</v>
      </c>
      <c r="AD55" s="105">
        <f>IF('основные условия'!$J$15=1,'расчет RAB'!AD181,'расчет индексация'!AD157)</f>
        <v>3541.489301904059</v>
      </c>
      <c r="AE55" s="105">
        <f>IF('основные условия'!$J$15=1,'расчет RAB'!AE181,'расчет индексация'!AE157)</f>
        <v>3505.702471529438</v>
      </c>
      <c r="AF55" s="105">
        <f>IF('основные условия'!$J$15=1,'расчет RAB'!AF181,'расчет индексация'!AF157)</f>
        <v>3466.483073564822</v>
      </c>
    </row>
    <row r="56" spans="1:32" ht="15">
      <c r="A56" s="83" t="s">
        <v>87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2" s="69" customFormat="1" ht="15">
      <c r="A57" s="100" t="s">
        <v>48</v>
      </c>
      <c r="B57" s="101">
        <f aca="true" t="shared" si="2" ref="B57:AF57">SUM(B58:B62)</f>
        <v>1144.8</v>
      </c>
      <c r="C57" s="101">
        <f t="shared" si="2"/>
        <v>1142.65963971331</v>
      </c>
      <c r="D57" s="101">
        <f t="shared" si="2"/>
        <v>1222.8894330128264</v>
      </c>
      <c r="E57" s="101">
        <f t="shared" si="2"/>
        <v>1342.2550198302552</v>
      </c>
      <c r="F57" s="101">
        <f t="shared" si="2"/>
        <v>1493.0502191466846</v>
      </c>
      <c r="G57" s="101">
        <f t="shared" si="2"/>
        <v>1543.1150752512433</v>
      </c>
      <c r="H57" s="101">
        <f t="shared" si="2"/>
        <v>1656.98571245349</v>
      </c>
      <c r="I57" s="101">
        <f t="shared" si="2"/>
        <v>1809.8223104935544</v>
      </c>
      <c r="J57" s="101">
        <f t="shared" si="2"/>
        <v>1965.8965372661598</v>
      </c>
      <c r="K57" s="101">
        <f t="shared" si="2"/>
        <v>2108.1938192100342</v>
      </c>
      <c r="L57" s="101">
        <f t="shared" si="2"/>
        <v>4749.659168831398</v>
      </c>
      <c r="M57" s="101">
        <f t="shared" si="2"/>
        <v>2232.384327053954</v>
      </c>
      <c r="N57" s="101">
        <f t="shared" si="2"/>
        <v>2467.7856679913248</v>
      </c>
      <c r="O57" s="101">
        <f t="shared" si="2"/>
        <v>2600.1452073496257</v>
      </c>
      <c r="P57" s="101">
        <f t="shared" si="2"/>
        <v>2911.153918516595</v>
      </c>
      <c r="Q57" s="101">
        <f t="shared" si="2"/>
        <v>3065.4941449818893</v>
      </c>
      <c r="R57" s="101">
        <f t="shared" si="2"/>
        <v>3205.8994964801523</v>
      </c>
      <c r="S57" s="101">
        <f t="shared" si="2"/>
        <v>3371.6869793013393</v>
      </c>
      <c r="T57" s="101">
        <f t="shared" si="2"/>
        <v>3602.877570019879</v>
      </c>
      <c r="U57" s="101">
        <f t="shared" si="2"/>
        <v>3800.348782475519</v>
      </c>
      <c r="V57" s="101">
        <f t="shared" si="2"/>
        <v>4063.8829180276284</v>
      </c>
      <c r="W57" s="101">
        <f t="shared" si="2"/>
        <v>4269.580172125851</v>
      </c>
      <c r="X57" s="101">
        <f t="shared" si="2"/>
        <v>4481.65799086118</v>
      </c>
      <c r="Y57" s="101">
        <f t="shared" si="2"/>
        <v>4704.268553907778</v>
      </c>
      <c r="Z57" s="101">
        <f t="shared" si="2"/>
        <v>4931.005458782282</v>
      </c>
      <c r="AA57" s="101">
        <f t="shared" si="2"/>
        <v>5170.4312898553035</v>
      </c>
      <c r="AB57" s="101">
        <f t="shared" si="2"/>
        <v>5415.25421901441</v>
      </c>
      <c r="AC57" s="101">
        <f t="shared" si="2"/>
        <v>5670.165712860921</v>
      </c>
      <c r="AD57" s="101">
        <f t="shared" si="2"/>
        <v>5997.415843379232</v>
      </c>
      <c r="AE57" s="101">
        <f t="shared" si="2"/>
        <v>6281.769006972938</v>
      </c>
      <c r="AF57" s="101">
        <f t="shared" si="2"/>
        <v>6576.519108621909</v>
      </c>
    </row>
    <row r="58" spans="1:32" s="69" customFormat="1" ht="15">
      <c r="A58" s="102" t="s">
        <v>47</v>
      </c>
      <c r="B58" s="103">
        <f>IF('конкурсная документация'!$B$1=1,'расчет RAB'!B246,'расчет индексация'!B212)</f>
        <v>1144.8</v>
      </c>
      <c r="C58" s="103">
        <f>IF('конкурсная документация'!$B$1=1,'расчет RAB'!C246,'расчет индексация'!C212)</f>
        <v>1126.70963971331</v>
      </c>
      <c r="D58" s="103">
        <f>IF('конкурсная документация'!$B$1=1,'расчет RAB'!D246,'расчет индексация'!D212)</f>
        <v>1205.2949330128265</v>
      </c>
      <c r="E58" s="103">
        <f>IF('конкурсная документация'!$B$1=1,'расчет RAB'!E246,'расчет индексация'!E212)</f>
        <v>1323.6597948302551</v>
      </c>
      <c r="F58" s="103">
        <f>IF('конкурсная документация'!$B$1=1,'расчет RAB'!F246,'расчет индексация'!F212)</f>
        <v>1473.1533283966846</v>
      </c>
      <c r="G58" s="103">
        <f>IF('конкурсная документация'!$B$1=1,'расчет RAB'!G246,'расчет индексация'!G212)</f>
        <v>1521.8254021487433</v>
      </c>
      <c r="H58" s="103">
        <f>IF('конкурсная документация'!$B$1=1,'расчет RAB'!H246,'расчет индексация'!H212)</f>
        <v>1634.205762233815</v>
      </c>
      <c r="I58" s="103">
        <f>IF('конкурсная документация'!$B$1=1,'расчет RAB'!I246,'расчет индексация'!I212)</f>
        <v>1785.447763758502</v>
      </c>
      <c r="J58" s="103">
        <f>IF('конкурсная документация'!$B$1=1,'расчет RAB'!J246,'расчет индексация'!J212)</f>
        <v>1939.8157722596538</v>
      </c>
      <c r="K58" s="103">
        <f>IF('конкурсная документация'!$B$1=1,'расчет RAB'!K246,'расчет индексация'!K212)</f>
        <v>2080.287400653073</v>
      </c>
      <c r="L58" s="103">
        <f>IF('конкурсная документация'!$B$1=1,'расчет RAB'!L246,'расчет индексация'!L212)</f>
        <v>2140.26596884249</v>
      </c>
      <c r="M58" s="103">
        <f>IF('конкурсная документация'!$B$1=1,'расчет RAB'!M246,'расчет индексация'!M212)</f>
        <v>2200.4342684480894</v>
      </c>
      <c r="N58" s="103">
        <f>IF('конкурсная документация'!$B$1=1,'расчет RAB'!N246,'расчет индексация'!N212)</f>
        <v>2433.5991052830495</v>
      </c>
      <c r="O58" s="103">
        <f>IF('конкурсная документация'!$B$1=1,'расчет RAB'!O246,'расчет индексация'!O212)</f>
        <v>2563.565585251771</v>
      </c>
      <c r="P58" s="103">
        <f>IF('конкурсная документация'!$B$1=1,'расчет RAB'!P246,'расчет индексация'!P212)</f>
        <v>2872.01372287189</v>
      </c>
      <c r="Q58" s="103">
        <f>IF('конкурсная документация'!$B$1=1,'расчет RAB'!Q246,'расчет индексация'!Q212)</f>
        <v>3023.614135642055</v>
      </c>
      <c r="R58" s="103">
        <f>IF('конкурсная документация'!$B$1=1,'расчет RAB'!R246,'расчет индексация'!R212)</f>
        <v>3161.08788648653</v>
      </c>
      <c r="S58" s="103">
        <f>IF('конкурсная документация'!$B$1=1,'расчет RAB'!S246,'расчет индексация'!S212)</f>
        <v>3323.7385566081634</v>
      </c>
      <c r="T58" s="103">
        <f>IF('конкурсная документация'!$B$1=1,'расчет RAB'!T246,'расчет индексация'!T212)</f>
        <v>3551.572757738181</v>
      </c>
      <c r="U58" s="103">
        <f>IF('конкурсная документация'!$B$1=1,'расчет RAB'!U246,'расчет индексация'!U212)</f>
        <v>3745.4526333341014</v>
      </c>
      <c r="V58" s="103">
        <f>IF('конкурсная документация'!$B$1=1,'расчет RAB'!V246,'расчет индексация'!V212)</f>
        <v>4005.144038446312</v>
      </c>
      <c r="W58" s="103">
        <f>IF('конкурсная документация'!$B$1=1,'расчет RAB'!W246,'расчет индексация'!W212)</f>
        <v>4206.729570973843</v>
      </c>
      <c r="X58" s="103">
        <f>IF('конкурсная документация'!$B$1=1,'расчет RAB'!X246,'расчет индексация'!X212)</f>
        <v>4414.407847628531</v>
      </c>
      <c r="Y58" s="103">
        <f>IF('конкурсная документация'!$B$1=1,'расчет RAB'!Y246,'расчет индексация'!Y212)</f>
        <v>4632.310900648844</v>
      </c>
      <c r="Z58" s="103">
        <f>IF('конкурсная документация'!$B$1=1,'расчет RAB'!Z246,'расчет индексация'!Z212)</f>
        <v>4854.010769795223</v>
      </c>
      <c r="AA58" s="103">
        <f>IF('конкурсная документация'!$B$1=1,'расчет RAB'!AA246,'расчет индексация'!AA212)</f>
        <v>5088.046972639149</v>
      </c>
      <c r="AB58" s="103">
        <f>IF('конкурсная документация'!$B$1=1,'расчет RAB'!AB246,'расчет индексация'!AB212)</f>
        <v>5327.102999593125</v>
      </c>
      <c r="AC58" s="103">
        <f>IF('конкурсная документация'!$B$1=1,'расчет RAB'!AC246,'расчет индексация'!AC212)</f>
        <v>5575.843908080146</v>
      </c>
      <c r="AD58" s="103">
        <f>IF('конкурсная документация'!$B$1=1,'расчет RAB'!AD246,'расчет индексация'!AD212)</f>
        <v>5896.491512263802</v>
      </c>
      <c r="AE58" s="103">
        <f>IF('конкурсная документация'!$B$1=1,'расчет RAB'!AE246,'расчет индексация'!AE212)</f>
        <v>6173.779972679429</v>
      </c>
      <c r="AF58" s="103">
        <f>IF('конкурсная документация'!$B$1=1,'расчет RAB'!AF246,'расчет индексация'!AF212)</f>
        <v>6460.970841927854</v>
      </c>
    </row>
    <row r="59" spans="1:32" s="69" customFormat="1" ht="79.5" customHeight="1">
      <c r="A59" s="19" t="s">
        <v>228</v>
      </c>
      <c r="B59" s="103">
        <f>IF('конкурсная документация'!$B$1=1,'расчет RAB'!B254,'расчет индексация'!B220)</f>
        <v>0</v>
      </c>
      <c r="C59" s="103">
        <f>IF('конкурсная документация'!$B$1=1,'расчет RAB'!C254,'расчет индексация'!C220)</f>
        <v>11</v>
      </c>
      <c r="D59" s="103">
        <f>IF('конкурсная документация'!$B$1=1,'расчет RAB'!D254,'расчет индексация'!D220)</f>
        <v>12.100000000000001</v>
      </c>
      <c r="E59" s="103">
        <f>IF('конкурсная документация'!$B$1=1,'расчет RAB'!E254,'расчет индексация'!E220)</f>
        <v>12.826000000000002</v>
      </c>
      <c r="F59" s="103">
        <f>IF('конкурсная документация'!$B$1=1,'расчет RAB'!F254,'расчет индексация'!F220)</f>
        <v>13.723820000000002</v>
      </c>
      <c r="G59" s="103">
        <f>IF('конкурсная документация'!$B$1=1,'расчет RAB'!G254,'расчет индексация'!G220)</f>
        <v>14.684487400000004</v>
      </c>
      <c r="H59" s="103">
        <f>IF('конкурсная документация'!$B$1=1,'расчет RAB'!H254,'расчет индексация'!H220)</f>
        <v>15.712401518000005</v>
      </c>
      <c r="I59" s="103">
        <f>IF('конкурсная документация'!$B$1=1,'расчет RAB'!I254,'расчет индексация'!I220)</f>
        <v>16.812269624260008</v>
      </c>
      <c r="J59" s="103">
        <f>IF('конкурсная документация'!$B$1=1,'расчет RAB'!J254,'расчет индексация'!J220)</f>
        <v>17.98912849795821</v>
      </c>
      <c r="K59" s="103">
        <f>IF('конкурсная документация'!$B$1=1,'расчет RAB'!K254,'расчет индексация'!K220)</f>
        <v>19.248367492815284</v>
      </c>
      <c r="L59" s="103">
        <f>IF('конкурсная документация'!$B$1=1,'расчет RAB'!L254,'расчет индексация'!L220)</f>
        <v>20.595753217312357</v>
      </c>
      <c r="M59" s="103">
        <f>IF('конкурсная документация'!$B$1=1,'расчет RAB'!M254,'расчет индексация'!M220)</f>
        <v>22.03745594252422</v>
      </c>
      <c r="N59" s="103">
        <f>IF('конкурсная документация'!$B$1=1,'расчет RAB'!N254,'расчет индексация'!N220)</f>
        <v>23.580077858500918</v>
      </c>
      <c r="O59" s="103">
        <f>IF('конкурсная документация'!$B$1=1,'расчет RAB'!O254,'расчет индексация'!O220)</f>
        <v>25.23068330859598</v>
      </c>
      <c r="P59" s="103">
        <f>IF('конкурсная документация'!$B$1=1,'расчет RAB'!P254,'расчет индексация'!P220)</f>
        <v>26.996831140197703</v>
      </c>
      <c r="Q59" s="103">
        <f>IF('конкурсная документация'!$B$1=1,'расчет RAB'!Q254,'расчет индексация'!Q220)</f>
        <v>28.886609320011544</v>
      </c>
      <c r="R59" s="103">
        <f>IF('конкурсная документация'!$B$1=1,'расчет RAB'!R254,'расчет индексация'!R220)</f>
        <v>30.90867197241235</v>
      </c>
      <c r="S59" s="103">
        <f>IF('конкурсная документация'!$B$1=1,'расчет RAB'!S254,'расчет индексация'!S220)</f>
        <v>33.07227901048122</v>
      </c>
      <c r="T59" s="103">
        <f>IF('конкурсная документация'!$B$1=1,'расчет RAB'!T254,'расчет индексация'!T220)</f>
        <v>35.3873385412149</v>
      </c>
      <c r="U59" s="103">
        <f>IF('конкурсная документация'!$B$1=1,'расчет RAB'!U254,'расчет индексация'!U220)</f>
        <v>37.86445223909995</v>
      </c>
      <c r="V59" s="103">
        <f>IF('конкурсная документация'!$B$1=1,'расчет RAB'!V254,'расчет индексация'!V220)</f>
        <v>40.51496389583694</v>
      </c>
      <c r="W59" s="103">
        <f>IF('конкурсная документация'!$B$1=1,'расчет RAB'!W254,'расчет индексация'!W220)</f>
        <v>43.351011368545535</v>
      </c>
      <c r="X59" s="103">
        <f>IF('конкурсная документация'!$B$1=1,'расчет RAB'!X254,'расчет индексация'!X220)</f>
        <v>46.385582164343724</v>
      </c>
      <c r="Y59" s="103">
        <f>IF('конкурсная документация'!$B$1=1,'расчет RAB'!Y254,'расчет индексация'!Y220)</f>
        <v>49.63257291584779</v>
      </c>
      <c r="Z59" s="103">
        <f>IF('конкурсная документация'!$B$1=1,'расчет RAB'!Z254,'расчет индексация'!Z220)</f>
        <v>53.10685301995714</v>
      </c>
      <c r="AA59" s="103">
        <f>IF('конкурсная документация'!$B$1=1,'расчет RAB'!AA254,'расчет индексация'!AA220)</f>
        <v>56.82433273135415</v>
      </c>
      <c r="AB59" s="103">
        <f>IF('конкурсная документация'!$B$1=1,'расчет RAB'!AB254,'расчет индексация'!AB220)</f>
        <v>60.80203602254894</v>
      </c>
      <c r="AC59" s="103">
        <f>IF('конкурсная документация'!$B$1=1,'расчет RAB'!AC254,'расчет индексация'!AC220)</f>
        <v>65.05817854412737</v>
      </c>
      <c r="AD59" s="103">
        <f>IF('конкурсная документация'!$B$1=1,'расчет RAB'!AD254,'расчет индексация'!AD220)</f>
        <v>69.61225104221629</v>
      </c>
      <c r="AE59" s="103">
        <f>IF('конкурсная документация'!$B$1=1,'расчет RAB'!AE254,'расчет индексация'!AE220)</f>
        <v>74.48510861517143</v>
      </c>
      <c r="AF59" s="103">
        <f>IF('конкурсная документация'!$B$1=1,'расчет RAB'!AF254,'расчет индексация'!AF220)</f>
        <v>79.69906621823343</v>
      </c>
    </row>
    <row r="60" spans="1:32" s="162" customFormat="1" ht="60">
      <c r="A60" s="160" t="s">
        <v>229</v>
      </c>
      <c r="B60" s="161"/>
      <c r="C60" s="172">
        <f>IF('конкурсная документация'!$B$1=1,'расчет RAB'!C255,'расчет индексация'!C221)</f>
        <v>4.95</v>
      </c>
      <c r="D60" s="172">
        <f>IF('конкурсная документация'!$B$1=1,'расчет RAB'!D255,'расчет индексация'!D221)</f>
        <v>5.494500000000001</v>
      </c>
      <c r="E60" s="172">
        <f>IF('конкурсная документация'!$B$1=1,'расчет RAB'!E255,'расчет индексация'!E221)</f>
        <v>5.769225000000001</v>
      </c>
      <c r="F60" s="172">
        <f>IF('конкурсная документация'!$B$1=1,'расчет RAB'!F255,'расчет индексация'!F221)</f>
        <v>6.173070750000003</v>
      </c>
      <c r="G60" s="172">
        <f>IF('конкурсная документация'!$B$1=1,'расчет RAB'!G255,'расчет индексация'!G221)</f>
        <v>6.605185702500003</v>
      </c>
      <c r="H60" s="172">
        <f>IF('конкурсная документация'!$B$1=1,'расчет RAB'!H255,'расчет индексация'!H221)</f>
        <v>7.067548701675004</v>
      </c>
      <c r="I60" s="172">
        <f>IF('конкурсная документация'!$B$1=1,'расчет RAB'!I255,'расчет индексация'!I221)</f>
        <v>7.562277110792254</v>
      </c>
      <c r="J60" s="172">
        <f>IF('конкурсная документация'!$B$1=1,'расчет RAB'!J255,'расчет индексация'!J221)</f>
        <v>8.091636508547714</v>
      </c>
      <c r="K60" s="172">
        <f>IF('конкурсная документация'!$B$1=1,'расчет RAB'!K255,'расчет индексация'!K221)</f>
        <v>8.658051064146054</v>
      </c>
      <c r="L60" s="172">
        <f>IF('конкурсная документация'!$B$1=1,'расчет RAB'!L255,'расчет индексация'!L221)</f>
        <v>9.264114638636277</v>
      </c>
      <c r="M60" s="172">
        <f>IF('конкурсная документация'!$B$1=1,'расчет RAB'!M255,'расчет индексация'!M221)</f>
        <v>9.912602663340817</v>
      </c>
      <c r="N60" s="172">
        <f>IF('конкурсная документация'!$B$1=1,'расчет RAB'!N255,'расчет индексация'!N221)</f>
        <v>10.606484849774674</v>
      </c>
      <c r="O60" s="172">
        <f>IF('конкурсная документация'!$B$1=1,'расчет RAB'!O255,'расчет индексация'!O221)</f>
        <v>11.348938789258904</v>
      </c>
      <c r="P60" s="172">
        <f>IF('конкурсная документация'!$B$1=1,'расчет RAB'!P255,'расчет индексация'!P221)</f>
        <v>12.143364504507026</v>
      </c>
      <c r="Q60" s="172">
        <f>IF('конкурсная документация'!$B$1=1,'расчет RAB'!Q255,'расчет индексация'!Q221)</f>
        <v>12.99340001982252</v>
      </c>
      <c r="R60" s="172">
        <f>IF('конкурсная документация'!$B$1=1,'расчет RAB'!R255,'расчет индексация'!R221)</f>
        <v>13.902938021210097</v>
      </c>
      <c r="S60" s="172">
        <f>IF('конкурсная документация'!$B$1=1,'расчет RAB'!S255,'расчет индексация'!S221)</f>
        <v>14.876143682694806</v>
      </c>
      <c r="T60" s="172">
        <f>IF('конкурсная документация'!$B$1=1,'расчет RAB'!T255,'расчет индексация'!T221)</f>
        <v>15.917473740483443</v>
      </c>
      <c r="U60" s="172">
        <f>IF('конкурсная документация'!$B$1=1,'расчет RAB'!U255,'расчет индексация'!U221)</f>
        <v>17.031696902317286</v>
      </c>
      <c r="V60" s="172">
        <f>IF('конкурсная документация'!$B$1=1,'расчет RAB'!V255,'расчет индексация'!V221)</f>
        <v>18.223915685479497</v>
      </c>
      <c r="W60" s="172">
        <f>IF('конкурсная документация'!$B$1=1,'расчет RAB'!W255,'расчет индексация'!W221)</f>
        <v>19.49958978346306</v>
      </c>
      <c r="X60" s="172">
        <f>IF('конкурсная документация'!$B$1=1,'расчет RAB'!X255,'расчет индексация'!X221)</f>
        <v>20.864561068305473</v>
      </c>
      <c r="Y60" s="172">
        <f>IF('конкурсная документация'!$B$1=1,'расчет RAB'!Y255,'расчет индексация'!Y221)</f>
        <v>22.325080343086857</v>
      </c>
      <c r="Z60" s="172">
        <f>IF('конкурсная документация'!$B$1=1,'расчет RAB'!Z255,'расчет индексация'!Z221)</f>
        <v>23.887835967102937</v>
      </c>
      <c r="AA60" s="172">
        <f>IF('конкурсная документация'!$B$1=1,'расчет RAB'!AA255,'расчет индексация'!AA221)</f>
        <v>25.559984484800147</v>
      </c>
      <c r="AB60" s="172">
        <f>IF('конкурсная документация'!$B$1=1,'расчет RAB'!AB255,'расчет индексация'!AB221)</f>
        <v>27.34918339873616</v>
      </c>
      <c r="AC60" s="172">
        <f>IF('конкурсная документация'!$B$1=1,'расчет RAB'!AC255,'расчет индексация'!AC221)</f>
        <v>29.263626236647692</v>
      </c>
      <c r="AD60" s="172">
        <f>IF('конкурсная документация'!$B$1=1,'расчет RAB'!AD255,'расчет индексация'!AD221)</f>
        <v>31.312080073213032</v>
      </c>
      <c r="AE60" s="172">
        <f>IF('конкурсная документация'!$B$1=1,'расчет RAB'!AE255,'расчет индексация'!AE221)</f>
        <v>33.50392567833795</v>
      </c>
      <c r="AF60" s="172">
        <f>IF('конкурсная документация'!$B$1=1,'расчет RAB'!AF255,'расчет индексация'!AF221)</f>
        <v>35.849200475821604</v>
      </c>
    </row>
    <row r="61" spans="1:32" s="162" customFormat="1" ht="15">
      <c r="A61" s="160" t="s">
        <v>224</v>
      </c>
      <c r="B61" s="161"/>
      <c r="C61" s="172">
        <f>IF('конкурсная документация'!$B$1=1,'расчет RAB'!C256,'расчет индексация'!C222)</f>
        <v>0</v>
      </c>
      <c r="D61" s="172">
        <f>IF('конкурсная документация'!$B$1=1,'расчет RAB'!D256,'расчет индексация'!D222)</f>
        <v>0</v>
      </c>
      <c r="E61" s="172">
        <f>IF('конкурсная документация'!$B$1=1,'расчет RAB'!E256,'расчет индексация'!E222)</f>
        <v>0</v>
      </c>
      <c r="F61" s="172">
        <f>IF('конкурсная документация'!$B$1=1,'расчет RAB'!F256,'расчет индексация'!F222)</f>
        <v>0</v>
      </c>
      <c r="G61" s="172">
        <f>IF('конкурсная документация'!$B$1=1,'расчет RAB'!G256,'расчет индексация'!G222)</f>
        <v>0</v>
      </c>
      <c r="H61" s="172">
        <f>IF('конкурсная документация'!$B$1=1,'расчет RAB'!H256,'расчет индексация'!H222)</f>
        <v>0</v>
      </c>
      <c r="I61" s="172">
        <f>IF('конкурсная документация'!$B$1=1,'расчет RAB'!I256,'расчет индексация'!I222)</f>
        <v>0</v>
      </c>
      <c r="J61" s="172">
        <f>IF('конкурсная документация'!$B$1=1,'расчет RAB'!J256,'расчет индексация'!J222)</f>
        <v>0</v>
      </c>
      <c r="K61" s="172">
        <f>IF('конкурсная документация'!$B$1=1,'расчет RAB'!K256,'расчет индексация'!K222)</f>
        <v>0</v>
      </c>
      <c r="L61" s="172">
        <f>IF('конкурсная документация'!$B$1=1,'расчет RAB'!L256,'расчет индексация'!L222)</f>
        <v>0</v>
      </c>
      <c r="M61" s="172">
        <f>IF('конкурсная документация'!$B$1=1,'расчет RAB'!M256,'расчет индексация'!M222)</f>
        <v>0</v>
      </c>
      <c r="N61" s="172">
        <f>IF('конкурсная документация'!$B$1=1,'расчет RAB'!N256,'расчет индексация'!N222)</f>
        <v>0</v>
      </c>
      <c r="O61" s="172">
        <f>IF('конкурсная документация'!$B$1=1,'расчет RAB'!O256,'расчет индексация'!O222)</f>
        <v>0</v>
      </c>
      <c r="P61" s="172">
        <f>IF('конкурсная документация'!$B$1=1,'расчет RAB'!P256,'расчет индексация'!P222)</f>
        <v>0</v>
      </c>
      <c r="Q61" s="172">
        <f>IF('конкурсная документация'!$B$1=1,'расчет RAB'!Q256,'расчет индексация'!Q222)</f>
        <v>0</v>
      </c>
      <c r="R61" s="172">
        <f>IF('конкурсная документация'!$B$1=1,'расчет RAB'!R256,'расчет индексация'!R222)</f>
        <v>0</v>
      </c>
      <c r="S61" s="172">
        <f>IF('конкурсная документация'!$B$1=1,'расчет RAB'!S256,'расчет индексация'!S222)</f>
        <v>0</v>
      </c>
      <c r="T61" s="172">
        <f>IF('конкурсная документация'!$B$1=1,'расчет RAB'!T256,'расчет индексация'!T222)</f>
        <v>0</v>
      </c>
      <c r="U61" s="172">
        <f>IF('конкурсная документация'!$B$1=1,'расчет RAB'!U256,'расчет индексация'!U222)</f>
        <v>0</v>
      </c>
      <c r="V61" s="172">
        <f>IF('конкурсная документация'!$B$1=1,'расчет RAB'!V256,'расчет индексация'!V222)</f>
        <v>0</v>
      </c>
      <c r="W61" s="172">
        <f>IF('конкурсная документация'!$B$1=1,'расчет RAB'!W256,'расчет индексация'!W222)</f>
        <v>0</v>
      </c>
      <c r="X61" s="172">
        <f>IF('конкурсная документация'!$B$1=1,'расчет RAB'!X256,'расчет индексация'!X222)</f>
        <v>0</v>
      </c>
      <c r="Y61" s="172">
        <f>IF('конкурсная документация'!$B$1=1,'расчет RAB'!Y256,'расчет индексация'!Y222)</f>
        <v>0</v>
      </c>
      <c r="Z61" s="172">
        <f>IF('конкурсная документация'!$B$1=1,'расчет RAB'!Z256,'расчет индексация'!Z222)</f>
        <v>0</v>
      </c>
      <c r="AA61" s="172">
        <f>IF('конкурсная документация'!$B$1=1,'расчет RAB'!AA256,'расчет индексация'!AA222)</f>
        <v>0</v>
      </c>
      <c r="AB61" s="172">
        <f>IF('конкурсная документация'!$B$1=1,'расчет RAB'!AB256,'расчет индексация'!AB222)</f>
        <v>0</v>
      </c>
      <c r="AC61" s="172">
        <f>IF('конкурсная документация'!$B$1=1,'расчет RAB'!AC256,'расчет индексация'!AC222)</f>
        <v>0</v>
      </c>
      <c r="AD61" s="172">
        <f>IF('конкурсная документация'!$B$1=1,'расчет RAB'!AD256,'расчет индексация'!AD222)</f>
        <v>0</v>
      </c>
      <c r="AE61" s="172">
        <f>IF('конкурсная документация'!$B$1=1,'расчет RAB'!AE256,'расчет индексация'!AE222)</f>
        <v>0</v>
      </c>
      <c r="AF61" s="172">
        <f>IF('конкурсная документация'!$B$1=1,'расчет RAB'!AF256,'расчет индексация'!AF222)</f>
        <v>0</v>
      </c>
    </row>
    <row r="62" spans="1:32" s="69" customFormat="1" ht="82.5" customHeight="1">
      <c r="A62" s="102" t="s">
        <v>49</v>
      </c>
      <c r="B62" s="103">
        <f>IF('основные условия'!$J$15=1,'расчет RAB'!B257,"")</f>
        <v>0</v>
      </c>
      <c r="C62" s="103">
        <f>IF('основные условия'!$J$15=1,'расчет RAB'!C257,"")</f>
        <v>0</v>
      </c>
      <c r="D62" s="103">
        <f>IF('основные условия'!$J$15=1,'расчет RAB'!D257,"")</f>
        <v>0</v>
      </c>
      <c r="E62" s="103">
        <f>IF('основные условия'!$J$15=1,'расчет RAB'!E257,"")</f>
        <v>0</v>
      </c>
      <c r="F62" s="103">
        <f>IF('основные условия'!$J$15=1,'расчет RAB'!F257,"")</f>
        <v>0</v>
      </c>
      <c r="G62" s="103">
        <f>IF('основные условия'!$J$15=1,'расчет RAB'!G257,"")</f>
        <v>0</v>
      </c>
      <c r="H62" s="103">
        <f>IF('основные условия'!$J$15=1,'расчет RAB'!H257,"")</f>
        <v>0</v>
      </c>
      <c r="I62" s="103">
        <f>IF('основные условия'!$J$15=1,'расчет RAB'!I257,"")</f>
        <v>0</v>
      </c>
      <c r="J62" s="103">
        <f>IF('основные условия'!$J$15=1,'расчет RAB'!J257,"")</f>
        <v>0</v>
      </c>
      <c r="K62" s="103">
        <f>IF('основные условия'!$J$15=1,'расчет RAB'!K257,"")</f>
        <v>0</v>
      </c>
      <c r="L62" s="103">
        <f>IF('основные условия'!$J$15=1,'расчет RAB'!L257,"")</f>
        <v>2579.533332132959</v>
      </c>
      <c r="M62" s="103">
        <f>IF('основные условия'!$J$15=1,'расчет RAB'!M257,"")</f>
        <v>0</v>
      </c>
      <c r="N62" s="103">
        <f>IF('основные условия'!$J$15=1,'расчет RAB'!N257,"")</f>
        <v>0</v>
      </c>
      <c r="O62" s="103">
        <f>IF('основные условия'!$J$15=1,'расчет RAB'!O257,"")</f>
        <v>0</v>
      </c>
      <c r="P62" s="103">
        <f>IF('основные условия'!$J$15=1,'расчет RAB'!P257,"")</f>
        <v>0</v>
      </c>
      <c r="Q62" s="103">
        <f>IF('основные условия'!$J$15=1,'расчет RAB'!Q257,"")</f>
        <v>0</v>
      </c>
      <c r="R62" s="103">
        <f>IF('основные условия'!$J$15=1,'расчет RAB'!R257,"")</f>
        <v>0</v>
      </c>
      <c r="S62" s="103">
        <f>IF('основные условия'!$J$15=1,'расчет RAB'!S257,"")</f>
        <v>0</v>
      </c>
      <c r="T62" s="103">
        <f>IF('основные условия'!$J$15=1,'расчет RAB'!T257,"")</f>
        <v>0</v>
      </c>
      <c r="U62" s="103">
        <f>IF('основные условия'!$J$15=1,'расчет RAB'!U257,"")</f>
        <v>0</v>
      </c>
      <c r="V62" s="103">
        <f>IF('основные условия'!$J$15=1,'расчет RAB'!V257,"")</f>
        <v>0</v>
      </c>
      <c r="W62" s="103">
        <f>IF('основные условия'!$J$15=1,'расчет RAB'!W257,"")</f>
        <v>0</v>
      </c>
      <c r="X62" s="103">
        <f>IF('основные условия'!$J$15=1,'расчет RAB'!X257,"")</f>
        <v>0</v>
      </c>
      <c r="Y62" s="103">
        <f>IF('основные условия'!$J$15=1,'расчет RAB'!Y257,"")</f>
        <v>0</v>
      </c>
      <c r="Z62" s="103">
        <f>IF('основные условия'!$J$15=1,'расчет RAB'!Z257,"")</f>
        <v>0</v>
      </c>
      <c r="AA62" s="103">
        <f>IF('основные условия'!$J$15=1,'расчет RAB'!AA257,"")</f>
        <v>0</v>
      </c>
      <c r="AB62" s="103">
        <f>IF('основные условия'!$J$15=1,'расчет RAB'!AB257,"")</f>
        <v>0</v>
      </c>
      <c r="AC62" s="103">
        <f>IF('основные условия'!$J$15=1,'расчет RAB'!AC257,"")</f>
        <v>0</v>
      </c>
      <c r="AD62" s="103">
        <f>IF('основные условия'!$J$15=1,'расчет RAB'!AD257,"")</f>
        <v>0</v>
      </c>
      <c r="AE62" s="103">
        <f>IF('основные условия'!$J$15=1,'расчет RAB'!AE257,"")</f>
        <v>0</v>
      </c>
      <c r="AF62" s="103">
        <f>IF('основные условия'!$J$15=1,'расчет RAB'!AF257,"")</f>
        <v>0</v>
      </c>
    </row>
    <row r="63" spans="1:32" s="69" customFormat="1" ht="30">
      <c r="A63" s="106" t="s">
        <v>50</v>
      </c>
      <c r="B63" s="103">
        <f>IF('основные условия'!$J$15=1,'расчет RAB'!B258,'расчет индексация'!B223)</f>
        <v>0</v>
      </c>
      <c r="C63" s="103">
        <f>IF('основные условия'!$J$15=1,'расчет RAB'!C258,'расчет индексация'!C223)</f>
        <v>1071.1628851593985</v>
      </c>
      <c r="D63" s="103">
        <f>IF('основные условия'!$J$15=1,'расчет RAB'!D258,'расчет индексация'!D223)</f>
        <v>1033.9477186122979</v>
      </c>
      <c r="E63" s="103">
        <f>IF('основные условия'!$J$15=1,'расчет RAB'!E258,'расчет индексация'!E223)</f>
        <v>1062.2647186520724</v>
      </c>
      <c r="F63" s="103">
        <f>IF('основные условия'!$J$15=1,'расчет RAB'!F258,'расчет индексация'!F223)</f>
        <v>1102.6993660536807</v>
      </c>
      <c r="G63" s="103">
        <f>IF('основные условия'!$J$15=1,'расчет RAB'!G258,'расчет индексация'!G223)</f>
        <v>1056.4036143192818</v>
      </c>
      <c r="H63" s="103">
        <f>IF('основные условия'!$J$15=1,'расчет RAB'!H258,'расчет индексация'!H223)</f>
        <v>1007.2982044062094</v>
      </c>
      <c r="I63" s="103">
        <f>IF('основные условия'!$J$15=1,'расчет RAB'!I258,'расчет индексация'!I223)</f>
        <v>960.2044033851174</v>
      </c>
      <c r="J63" s="103">
        <f>IF('основные условия'!$J$15=1,'расчет RAB'!J258,'расчет индексация'!J223)</f>
        <v>915.1367712716151</v>
      </c>
      <c r="K63" s="103">
        <f>IF('основные условия'!$J$15=1,'расчет RAB'!K258,'расчет индексация'!K223)</f>
        <v>874.6011080503993</v>
      </c>
      <c r="L63" s="103">
        <f>IF('основные условия'!$J$15=1,'расчет RAB'!L258,'расчет индексация'!L223)</f>
        <v>1866.718190650514</v>
      </c>
      <c r="M63" s="103">
        <f>IF('основные условия'!$J$15=1,'расчет RAB'!M258,'расчет индексация'!M223)</f>
        <v>794.2080737919495</v>
      </c>
      <c r="N63" s="103">
        <f>IF('основные условия'!$J$15=1,'расчет RAB'!N258,'расчет индексация'!N223)</f>
        <v>756.7809064739473</v>
      </c>
      <c r="O63" s="103">
        <f>IF('основные условия'!$J$15=1,'расчет RAB'!O258,'расчет индексация'!O223)</f>
        <v>738.9491743077455</v>
      </c>
      <c r="P63" s="103">
        <f>IF('основные условия'!$J$15=1,'расчет RAB'!P258,'расчет индексация'!P223)</f>
        <v>727.6337458861966</v>
      </c>
      <c r="Q63" s="103">
        <f>IF('основные условия'!$J$15=1,'расчет RAB'!Q258,'расчет индексация'!Q223)</f>
        <v>732.9447677279309</v>
      </c>
      <c r="R63" s="103">
        <f>IF('основные условия'!$J$15=1,'расчет RAB'!R258,'расчет индексация'!R223)</f>
        <v>738.5201379384234</v>
      </c>
      <c r="S63" s="103">
        <f>IF('основные условия'!$J$15=1,'расчет RAB'!S258,'расчет индексация'!S223)</f>
        <v>750.8938512788166</v>
      </c>
      <c r="T63" s="103">
        <f>IF('основные условия'!$J$15=1,'расчет RAB'!T258,'расчет индексация'!T223)</f>
        <v>768.0770908569765</v>
      </c>
      <c r="U63" s="103">
        <f>IF('основные условия'!$J$15=1,'расчет RAB'!U258,'расчет индексация'!U223)</f>
        <v>780.621455413688</v>
      </c>
      <c r="V63" s="103">
        <f>IF('основные условия'!$J$15=1,'расчет RAB'!V258,'расчет индексация'!V223)</f>
        <v>788.6971956333196</v>
      </c>
      <c r="W63" s="103">
        <f>IF('основные условия'!$J$15=1,'расчет RAB'!W258,'расчет индексация'!W223)</f>
        <v>796.7358128496708</v>
      </c>
      <c r="X63" s="103">
        <f>IF('основные условия'!$J$15=1,'расчет RAB'!X258,'расчет индексация'!X223)</f>
        <v>799.5178813687705</v>
      </c>
      <c r="Y63" s="103">
        <f>IF('основные условия'!$J$15=1,'расчет RAB'!Y258,'расчет индексация'!Y223)</f>
        <v>792.7775127540979</v>
      </c>
      <c r="Z63" s="103">
        <f>IF('основные условия'!$J$15=1,'расчет RAB'!Z258,'расчет индексация'!Z223)</f>
        <v>784.6007451713822</v>
      </c>
      <c r="AA63" s="103">
        <f>IF('основные условия'!$J$15=1,'расчет RAB'!AA258,'расчет индексация'!AA223)</f>
        <v>779.7623006121696</v>
      </c>
      <c r="AB63" s="103">
        <f>IF('основные условия'!$J$15=1,'расчет RAB'!AB258,'расчет индексация'!AB223)</f>
        <v>771.9895456277884</v>
      </c>
      <c r="AC63" s="103">
        <f>IF('основные условия'!$J$15=1,'расчет RAB'!AC258,'расчет индексация'!AC223)</f>
        <v>761.3164901485317</v>
      </c>
      <c r="AD63" s="103">
        <f>IF('основные условия'!$J$15=1,'расчет RAB'!AD258,'расчет индексация'!AD223)</f>
        <v>748.1762757425557</v>
      </c>
      <c r="AE63" s="103">
        <f>IF('основные условия'!$J$15=1,'расчет RAB'!AE258,'расчет индексация'!AE223)</f>
        <v>734.9782189072048</v>
      </c>
      <c r="AF63" s="103">
        <f>IF('основные условия'!$J$15=1,'расчет RAB'!AF258,'расчет индексация'!AF223)</f>
        <v>719.5236240608663</v>
      </c>
    </row>
    <row r="64" spans="1:32" s="69" customFormat="1" ht="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</sheetData>
  <sheetProtection sort="0" autoFilter="0"/>
  <mergeCells count="4">
    <mergeCell ref="A3:A4"/>
    <mergeCell ref="A36:B36"/>
    <mergeCell ref="A37:B37"/>
    <mergeCell ref="A38:B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Дондупова Эржена Валерьевна</dc:creator>
  <cp:keywords/>
  <dc:description/>
  <cp:lastModifiedBy>Demidova</cp:lastModifiedBy>
  <dcterms:created xsi:type="dcterms:W3CDTF">2012-05-02T06:23:07Z</dcterms:created>
  <dcterms:modified xsi:type="dcterms:W3CDTF">2015-07-01T15:15:43Z</dcterms:modified>
  <cp:category/>
  <cp:version/>
  <cp:contentType/>
  <cp:contentStatus/>
</cp:coreProperties>
</file>